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3"/>
  <workbookPr codeName="ThisWorkbook"/>
  <mc:AlternateContent xmlns:mc="http://schemas.openxmlformats.org/markup-compatibility/2006">
    <mc:Choice Requires="x15">
      <x15ac:absPath xmlns:x15ac="http://schemas.microsoft.com/office/spreadsheetml/2010/11/ac" url="/Users/yab2/Dropbox/_compta/exercices/"/>
    </mc:Choice>
  </mc:AlternateContent>
  <xr:revisionPtr revIDLastSave="0" documentId="13_ncr:1_{BCD6B04E-5A4D-7A47-9810-138EF8CABC2F}" xr6:coauthVersionLast="43" xr6:coauthVersionMax="43" xr10:uidLastSave="{00000000-0000-0000-0000-000000000000}"/>
  <bookViews>
    <workbookView xWindow="14100" yWindow="460" windowWidth="26080" windowHeight="29580" xr2:uid="{00000000-000D-0000-FFFF-FFFF00000000}"/>
  </bookViews>
  <sheets>
    <sheet name="Feuil1" sheetId="1" r:id="rId1"/>
  </sheets>
  <definedNames>
    <definedName name="normal">Feuil1!$I$65</definedName>
    <definedName name="plancomptable">Feuil1!$H$70:$I$1151</definedName>
    <definedName name="réduit">Feuil1!$I$67</definedName>
    <definedName name="spécial">Feuil1!$I$66</definedName>
    <definedName name="_xlnm.Print_Area" localSheetId="0">Feuil1!$A$1:$L$64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1" l="1"/>
  <c r="I50" i="1"/>
  <c r="J47" i="1"/>
  <c r="J48" i="1"/>
  <c r="J49" i="1"/>
  <c r="J50" i="1"/>
  <c r="J51" i="1"/>
  <c r="J52" i="1"/>
  <c r="J53" i="1"/>
  <c r="J54" i="1"/>
  <c r="J55" i="1"/>
  <c r="J56" i="1"/>
  <c r="J57" i="1"/>
  <c r="A48" i="1"/>
  <c r="B48" i="1"/>
  <c r="C48" i="1"/>
  <c r="A49" i="1"/>
  <c r="B49" i="1"/>
  <c r="C49" i="1"/>
  <c r="A50" i="1"/>
  <c r="B50" i="1"/>
  <c r="K50" i="1" s="1"/>
  <c r="C50" i="1"/>
  <c r="A51" i="1"/>
  <c r="B51" i="1"/>
  <c r="C51" i="1"/>
  <c r="K51" i="1" l="1"/>
  <c r="L50" i="1"/>
  <c r="I61" i="1"/>
  <c r="I60" i="1"/>
  <c r="I59" i="1"/>
  <c r="I58" i="1"/>
  <c r="H57" i="1"/>
  <c r="I51" i="1"/>
  <c r="L51" i="1" s="1"/>
  <c r="H51" i="1"/>
  <c r="I46" i="1"/>
  <c r="I64" i="1" l="1"/>
  <c r="A52" i="1"/>
  <c r="I45" i="1"/>
  <c r="I44" i="1"/>
  <c r="H49" i="1" s="1"/>
  <c r="I43" i="1"/>
  <c r="H48" i="1" s="1"/>
  <c r="H41" i="1"/>
  <c r="B38" i="1"/>
  <c r="I21" i="1"/>
  <c r="I22" i="1"/>
  <c r="I20" i="1"/>
  <c r="I49" i="1" l="1"/>
  <c r="L49" i="1" s="1"/>
  <c r="K49" i="1"/>
  <c r="I48" i="1"/>
  <c r="L48" i="1" s="1"/>
  <c r="K48" i="1"/>
  <c r="I47" i="1"/>
  <c r="H31" i="1"/>
  <c r="I31" i="1" s="1"/>
  <c r="I27" i="1"/>
  <c r="H29" i="1"/>
  <c r="H26" i="1"/>
  <c r="I16" i="1"/>
  <c r="H15" i="1"/>
  <c r="I9" i="1"/>
  <c r="H7" i="1"/>
  <c r="I6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58" i="1"/>
  <c r="J59" i="1"/>
  <c r="J60" i="1"/>
  <c r="J61" i="1"/>
  <c r="J62" i="1"/>
  <c r="J63" i="1"/>
  <c r="J64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H20" i="1" l="1"/>
  <c r="H6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53" i="1"/>
  <c r="A54" i="1"/>
  <c r="A55" i="1"/>
  <c r="A57" i="1"/>
  <c r="A58" i="1"/>
  <c r="A59" i="1"/>
  <c r="A60" i="1"/>
  <c r="A61" i="1"/>
  <c r="A62" i="1"/>
  <c r="A63" i="1"/>
  <c r="A64" i="1"/>
  <c r="B4" i="1"/>
  <c r="K4" i="1" s="1"/>
  <c r="C4" i="1"/>
  <c r="B5" i="1"/>
  <c r="C5" i="1"/>
  <c r="B6" i="1"/>
  <c r="K6" i="1" s="1"/>
  <c r="C6" i="1"/>
  <c r="B7" i="1"/>
  <c r="C7" i="1"/>
  <c r="L7" i="1" s="1"/>
  <c r="B8" i="1"/>
  <c r="C8" i="1"/>
  <c r="L8" i="1" s="1"/>
  <c r="B9" i="1"/>
  <c r="C9" i="1"/>
  <c r="B10" i="1"/>
  <c r="K10" i="1" s="1"/>
  <c r="C10" i="1"/>
  <c r="B11" i="1"/>
  <c r="C11" i="1"/>
  <c r="B12" i="1"/>
  <c r="C12" i="1"/>
  <c r="B13" i="1"/>
  <c r="C13" i="1"/>
  <c r="L13" i="1" s="1"/>
  <c r="B14" i="1"/>
  <c r="C14" i="1"/>
  <c r="B15" i="1"/>
  <c r="C15" i="1"/>
  <c r="L15" i="1" s="1"/>
  <c r="B16" i="1"/>
  <c r="K16" i="1" s="1"/>
  <c r="C16" i="1"/>
  <c r="B17" i="1"/>
  <c r="C17" i="1"/>
  <c r="B18" i="1"/>
  <c r="C18" i="1"/>
  <c r="L18" i="1" s="1"/>
  <c r="B19" i="1"/>
  <c r="C19" i="1"/>
  <c r="B20" i="1"/>
  <c r="K20" i="1" s="1"/>
  <c r="C20" i="1"/>
  <c r="B21" i="1"/>
  <c r="C21" i="1"/>
  <c r="B22" i="1"/>
  <c r="K22" i="1" s="1"/>
  <c r="C22" i="1"/>
  <c r="B23" i="1"/>
  <c r="C23" i="1"/>
  <c r="B24" i="1"/>
  <c r="K24" i="1" s="1"/>
  <c r="C24" i="1"/>
  <c r="B25" i="1"/>
  <c r="C25" i="1"/>
  <c r="B26" i="1"/>
  <c r="C26" i="1"/>
  <c r="L26" i="1" s="1"/>
  <c r="B27" i="1"/>
  <c r="C27" i="1"/>
  <c r="B28" i="1"/>
  <c r="C28" i="1"/>
  <c r="L28" i="1" s="1"/>
  <c r="B29" i="1"/>
  <c r="C29" i="1"/>
  <c r="B30" i="1"/>
  <c r="C30" i="1"/>
  <c r="B31" i="1"/>
  <c r="C31" i="1"/>
  <c r="B32" i="1"/>
  <c r="C32" i="1"/>
  <c r="B33" i="1"/>
  <c r="C33" i="1"/>
  <c r="B34" i="1"/>
  <c r="C34" i="1"/>
  <c r="L34" i="1" s="1"/>
  <c r="B35" i="1"/>
  <c r="C35" i="1"/>
  <c r="B36" i="1"/>
  <c r="C36" i="1"/>
  <c r="B37" i="1"/>
  <c r="C37" i="1"/>
  <c r="L37" i="1" s="1"/>
  <c r="C38" i="1"/>
  <c r="B39" i="1"/>
  <c r="C39" i="1"/>
  <c r="B40" i="1"/>
  <c r="C40" i="1"/>
  <c r="L40" i="1" s="1"/>
  <c r="B41" i="1"/>
  <c r="K41" i="1" s="1"/>
  <c r="C41" i="1"/>
  <c r="B43" i="1"/>
  <c r="K43" i="1" s="1"/>
  <c r="C43" i="1"/>
  <c r="B44" i="1"/>
  <c r="K44" i="1" s="1"/>
  <c r="C44" i="1"/>
  <c r="B45" i="1"/>
  <c r="K45" i="1" s="1"/>
  <c r="C45" i="1"/>
  <c r="B46" i="1"/>
  <c r="K46" i="1" s="1"/>
  <c r="C46" i="1"/>
  <c r="B47" i="1"/>
  <c r="K47" i="1" s="1"/>
  <c r="C47" i="1"/>
  <c r="B52" i="1"/>
  <c r="K52" i="1" s="1"/>
  <c r="C52" i="1"/>
  <c r="L52" i="1" s="1"/>
  <c r="B53" i="1"/>
  <c r="C53" i="1"/>
  <c r="B54" i="1"/>
  <c r="C54" i="1"/>
  <c r="B55" i="1"/>
  <c r="C55" i="1"/>
  <c r="B56" i="1"/>
  <c r="C56" i="1"/>
  <c r="B57" i="1"/>
  <c r="C57" i="1"/>
  <c r="B58" i="1"/>
  <c r="K58" i="1" s="1"/>
  <c r="C58" i="1"/>
  <c r="B59" i="1"/>
  <c r="K59" i="1" s="1"/>
  <c r="C59" i="1"/>
  <c r="B60" i="1"/>
  <c r="K60" i="1" s="1"/>
  <c r="C60" i="1"/>
  <c r="L60" i="1" s="1"/>
  <c r="B61" i="1"/>
  <c r="K61" i="1" s="1"/>
  <c r="C61" i="1"/>
  <c r="B62" i="1"/>
  <c r="K62" i="1" s="1"/>
  <c r="C62" i="1"/>
  <c r="B63" i="1"/>
  <c r="K63" i="1" s="1"/>
  <c r="C63" i="1"/>
  <c r="B64" i="1"/>
  <c r="K64" i="1" s="1"/>
  <c r="C64" i="1"/>
  <c r="L64" i="1" s="1"/>
  <c r="C3" i="1"/>
  <c r="L3" i="1" s="1"/>
  <c r="B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3" i="1"/>
  <c r="H64" i="1"/>
  <c r="H61" i="1"/>
  <c r="I57" i="1"/>
  <c r="L56" i="1"/>
  <c r="I56" i="1"/>
  <c r="I53" i="1"/>
  <c r="H46" i="1"/>
  <c r="H45" i="1"/>
  <c r="L45" i="1"/>
  <c r="H42" i="1"/>
  <c r="L41" i="1"/>
  <c r="I41" i="1"/>
  <c r="I40" i="1"/>
  <c r="I36" i="1"/>
  <c r="K35" i="1"/>
  <c r="I34" i="1"/>
  <c r="K33" i="1"/>
  <c r="K31" i="1"/>
  <c r="L29" i="1"/>
  <c r="I28" i="1"/>
  <c r="K27" i="1"/>
  <c r="K25" i="1"/>
  <c r="H25" i="1"/>
  <c r="K23" i="1"/>
  <c r="K21" i="1"/>
  <c r="H21" i="1"/>
  <c r="K19" i="1"/>
  <c r="K17" i="1"/>
  <c r="K9" i="1"/>
  <c r="K5" i="1"/>
  <c r="L63" i="1" l="1"/>
  <c r="L61" i="1"/>
  <c r="L59" i="1"/>
  <c r="L57" i="1"/>
  <c r="L55" i="1"/>
  <c r="K53" i="1"/>
  <c r="L53" i="1"/>
  <c r="L46" i="1"/>
  <c r="L44" i="1"/>
  <c r="L38" i="1"/>
  <c r="L36" i="1"/>
  <c r="K34" i="1"/>
  <c r="L32" i="1"/>
  <c r="K18" i="1"/>
  <c r="L16" i="1"/>
  <c r="L20" i="1"/>
  <c r="I26" i="1"/>
  <c r="K38" i="1"/>
  <c r="K57" i="1"/>
  <c r="H60" i="1"/>
  <c r="L33" i="1"/>
  <c r="I52" i="1"/>
  <c r="K56" i="1"/>
  <c r="K26" i="1"/>
  <c r="L21" i="1"/>
  <c r="I18" i="1"/>
  <c r="L24" i="1"/>
  <c r="L25" i="1"/>
  <c r="L10" i="1"/>
  <c r="I13" i="1"/>
  <c r="I14" i="1" s="1"/>
  <c r="L14" i="1" s="1"/>
  <c r="H10" i="1"/>
  <c r="L4" i="1"/>
  <c r="L6" i="1"/>
  <c r="K13" i="1"/>
  <c r="I8" i="1"/>
  <c r="K15" i="1"/>
  <c r="H19" i="1"/>
  <c r="H27" i="1"/>
  <c r="H58" i="1"/>
  <c r="H62" i="1"/>
  <c r="H35" i="1"/>
  <c r="K39" i="1"/>
  <c r="I7" i="1"/>
  <c r="K8" i="1"/>
  <c r="L19" i="1"/>
  <c r="L27" i="1"/>
  <c r="L31" i="1"/>
  <c r="K32" i="1"/>
  <c r="L39" i="1"/>
  <c r="K40" i="1"/>
  <c r="L43" i="1"/>
  <c r="H44" i="1"/>
  <c r="L47" i="1"/>
  <c r="K55" i="1"/>
  <c r="L58" i="1"/>
  <c r="H59" i="1"/>
  <c r="L62" i="1"/>
  <c r="H63" i="1"/>
  <c r="K7" i="1"/>
  <c r="H43" i="1"/>
  <c r="H4" i="1"/>
  <c r="K12" i="1"/>
  <c r="I15" i="1"/>
  <c r="H16" i="1"/>
  <c r="I54" i="1" l="1"/>
  <c r="L54" i="1" s="1"/>
  <c r="H54" i="1"/>
  <c r="K54" i="1" s="1"/>
  <c r="I29" i="1"/>
  <c r="I17" i="1"/>
  <c r="H17" i="1"/>
  <c r="L12" i="1"/>
  <c r="H14" i="1"/>
  <c r="K14" i="1" s="1"/>
  <c r="L9" i="1"/>
  <c r="H9" i="1"/>
  <c r="H28" i="1" l="1"/>
  <c r="H30" i="1" s="1"/>
  <c r="K30" i="1" s="1"/>
  <c r="K29" i="1"/>
  <c r="L17" i="1"/>
  <c r="H11" i="1"/>
  <c r="K11" i="1" s="1"/>
  <c r="I11" i="1"/>
  <c r="L11" i="1" s="1"/>
  <c r="K3" i="1"/>
  <c r="I3" i="1"/>
  <c r="I35" i="1" l="1"/>
  <c r="L35" i="1" s="1"/>
  <c r="H36" i="1"/>
  <c r="I30" i="1"/>
  <c r="L30" i="1" s="1"/>
  <c r="K28" i="1"/>
  <c r="H22" i="1"/>
  <c r="H23" i="1"/>
  <c r="L23" i="1"/>
  <c r="L22" i="1"/>
  <c r="H5" i="1"/>
  <c r="I5" i="1"/>
  <c r="L5" i="1" s="1"/>
  <c r="K36" i="1" l="1"/>
  <c r="I37" i="1"/>
  <c r="H37" i="1"/>
  <c r="K37" i="1" s="1"/>
  <c r="H1" i="1" s="1"/>
  <c r="I1" i="1"/>
</calcChain>
</file>

<file path=xl/sharedStrings.xml><?xml version="1.0" encoding="utf-8"?>
<sst xmlns="http://schemas.openxmlformats.org/spreadsheetml/2006/main" count="197" uniqueCount="183">
  <si>
    <t>n°</t>
  </si>
  <si>
    <t>débit</t>
  </si>
  <si>
    <t>crédit</t>
  </si>
  <si>
    <t>libellé</t>
  </si>
  <si>
    <t>Banque</t>
  </si>
  <si>
    <t>Caisse</t>
  </si>
  <si>
    <t>Poste</t>
  </si>
  <si>
    <t>Taux normal</t>
  </si>
  <si>
    <t>Taux spécial</t>
  </si>
  <si>
    <t>Taux réduit</t>
  </si>
  <si>
    <t>Plan comptable</t>
  </si>
  <si>
    <t>Ducroire</t>
  </si>
  <si>
    <t>Impôt anticipé</t>
  </si>
  <si>
    <t>Acomptes aux fournisseurs</t>
  </si>
  <si>
    <t>Stocks de marchandises</t>
  </si>
  <si>
    <t>Stocks de matières premières</t>
  </si>
  <si>
    <t>Travaux en cours</t>
  </si>
  <si>
    <t>Correction de la valeur des stocks et de travaux en cours</t>
  </si>
  <si>
    <t>Charges comptabilisées d'avance</t>
  </si>
  <si>
    <t>Produits à recevoir</t>
  </si>
  <si>
    <t>Titres à long terme</t>
  </si>
  <si>
    <t>Participations</t>
  </si>
  <si>
    <t>Machines et appareils</t>
  </si>
  <si>
    <t>Mobilier et installations</t>
  </si>
  <si>
    <t>Matériel informatique</t>
  </si>
  <si>
    <t>Véhicule</t>
  </si>
  <si>
    <t>Outillages et appareils</t>
  </si>
  <si>
    <t>Immeubles</t>
  </si>
  <si>
    <t>Terrains</t>
  </si>
  <si>
    <t>Brevets, know-how, processus de fabrication</t>
  </si>
  <si>
    <t>Amort. et CV Brevets</t>
  </si>
  <si>
    <t>Capital-action non libéré</t>
  </si>
  <si>
    <t>Capital-participation non libéré</t>
  </si>
  <si>
    <t>Autres dettes</t>
  </si>
  <si>
    <t>Acomptes de clients</t>
  </si>
  <si>
    <t>Dettes banciares à court-terme</t>
  </si>
  <si>
    <t>TVA due</t>
  </si>
  <si>
    <t>Décompte TVA</t>
  </si>
  <si>
    <t>Impôts directs</t>
  </si>
  <si>
    <t>Salaires à payer</t>
  </si>
  <si>
    <t>Dividendes</t>
  </si>
  <si>
    <t>Dette caisse AVS</t>
  </si>
  <si>
    <t>Dette caisse LPP</t>
  </si>
  <si>
    <t>Charges à payer</t>
  </si>
  <si>
    <t>Produits comptabilisés d'avance</t>
  </si>
  <si>
    <t>Provisions à court terme</t>
  </si>
  <si>
    <t>Dettes bancaires à long terme</t>
  </si>
  <si>
    <t>Hypothèques</t>
  </si>
  <si>
    <t>Autres dettes à long terme</t>
  </si>
  <si>
    <t>Provisions</t>
  </si>
  <si>
    <t>2800sa</t>
  </si>
  <si>
    <t>Capital-action</t>
  </si>
  <si>
    <t>2900sa</t>
  </si>
  <si>
    <t>2940sa</t>
  </si>
  <si>
    <t>Réserve d'évaluation</t>
  </si>
  <si>
    <t>2950sa</t>
  </si>
  <si>
    <t>2960sa</t>
  </si>
  <si>
    <t>Réserves facultatives</t>
  </si>
  <si>
    <t>2970sa</t>
  </si>
  <si>
    <t>2979sa</t>
  </si>
  <si>
    <t>Bénéfice ou perte de l'exercice</t>
  </si>
  <si>
    <t>2980sa</t>
  </si>
  <si>
    <t>Propres actions (poste négatif)</t>
  </si>
  <si>
    <t>2800ri</t>
  </si>
  <si>
    <t>Capital propre</t>
  </si>
  <si>
    <t>2850ri</t>
  </si>
  <si>
    <t>Privé</t>
  </si>
  <si>
    <t>2800sp</t>
  </si>
  <si>
    <t xml:space="preserve">Capital propre Associé </t>
  </si>
  <si>
    <t>2820sp</t>
  </si>
  <si>
    <t>Privé Associé</t>
  </si>
  <si>
    <t>Ventes de produtis fabriqués</t>
  </si>
  <si>
    <t>Ventes de marchandises</t>
  </si>
  <si>
    <t>Rabais accordés sur march.</t>
  </si>
  <si>
    <t>Honoraires (ventes prestations)</t>
  </si>
  <si>
    <t>Rabais accordés sur Honoraires</t>
  </si>
  <si>
    <t>Prestations à soi-même</t>
  </si>
  <si>
    <t>Pertes sur clients</t>
  </si>
  <si>
    <t>Variation du stocks de produits finis</t>
  </si>
  <si>
    <t>Variation de la valeur des prestations non facturées</t>
  </si>
  <si>
    <t>Charges de matériel</t>
  </si>
  <si>
    <t>Achats de marchandise</t>
  </si>
  <si>
    <t>Rabais obtenus sur marchandises</t>
  </si>
  <si>
    <t>Frais d'achats de marchandises</t>
  </si>
  <si>
    <t>Variation de stock de marchandise</t>
  </si>
  <si>
    <t>Achats de matières premières</t>
  </si>
  <si>
    <t>Rabais obtenus sur matière première</t>
  </si>
  <si>
    <t>Frais d'achats de matière première</t>
  </si>
  <si>
    <t>Variation de stock de matière première</t>
  </si>
  <si>
    <t>Salaire</t>
  </si>
  <si>
    <t>Charges sociales</t>
  </si>
  <si>
    <t>Autres charges de personnel</t>
  </si>
  <si>
    <t>Coti. Et frais AVS/AC/Amat</t>
  </si>
  <si>
    <t>Coti. ALFA</t>
  </si>
  <si>
    <t>Coti. LPP</t>
  </si>
  <si>
    <t>Coti LAA</t>
  </si>
  <si>
    <t>Coti apgm</t>
  </si>
  <si>
    <t>Charges de locaux</t>
  </si>
  <si>
    <t>ERR Immeuble</t>
  </si>
  <si>
    <t>Ch. de véhicules et de transp.</t>
  </si>
  <si>
    <t>Charges d'énergie</t>
  </si>
  <si>
    <t>Charges admin. et informatique</t>
  </si>
  <si>
    <t>Téléphone (pas dans P.C.)</t>
  </si>
  <si>
    <t>Fraits de port (pas dans P.C.)</t>
  </si>
  <si>
    <t>Charges de publicité</t>
  </si>
  <si>
    <t>Autres charges d'exploitation</t>
  </si>
  <si>
    <t>Amortissements</t>
  </si>
  <si>
    <t>Produits de titres</t>
  </si>
  <si>
    <t>Charges des titres</t>
  </si>
  <si>
    <t>Produits des immeubles</t>
  </si>
  <si>
    <t>Charges des immeubles</t>
  </si>
  <si>
    <t>Résultat d'alinéation</t>
  </si>
  <si>
    <t>Charges hors exploitation</t>
  </si>
  <si>
    <t>Produits hors exploitation</t>
  </si>
  <si>
    <t>Charges exceptionnelles</t>
  </si>
  <si>
    <t>Produits exceptionnelles</t>
  </si>
  <si>
    <t>Débiteurs</t>
  </si>
  <si>
    <t>Débiteurs douteux</t>
  </si>
  <si>
    <t>TVA r. s/march.</t>
  </si>
  <si>
    <t>TVA r. s/inv. et ace</t>
  </si>
  <si>
    <t>CA s/machines</t>
  </si>
  <si>
    <t>CA s/mobilier</t>
  </si>
  <si>
    <t>CA s/mat. Info.</t>
  </si>
  <si>
    <t>CA s/ vhc.</t>
  </si>
  <si>
    <t>CA s/ outillage</t>
  </si>
  <si>
    <t>CA s/ immeuble</t>
  </si>
  <si>
    <t>Créanciers</t>
  </si>
  <si>
    <t>Escomptes accordés</t>
  </si>
  <si>
    <t>Escomptes obtenus</t>
  </si>
  <si>
    <t>Actionnaires</t>
  </si>
  <si>
    <t>2800sarl</t>
  </si>
  <si>
    <t>Capital-social</t>
  </si>
  <si>
    <t>2850sa</t>
  </si>
  <si>
    <t>Prime à l'émission</t>
  </si>
  <si>
    <t>Souscription</t>
  </si>
  <si>
    <t>libération de Katia</t>
  </si>
  <si>
    <t>8000 x 120%</t>
  </si>
  <si>
    <t>repris pour vrai valeur</t>
  </si>
  <si>
    <t>création de provision pour 5%</t>
  </si>
  <si>
    <t>Prêt de Halim, confusion juridique</t>
  </si>
  <si>
    <t>Solde</t>
  </si>
  <si>
    <t>libération de Halim</t>
  </si>
  <si>
    <t>Prêt à Katia, confusion juridique</t>
  </si>
  <si>
    <t>CATI</t>
  </si>
  <si>
    <t>6000 + tva x 15%</t>
  </si>
  <si>
    <t>6000 x 15%</t>
  </si>
  <si>
    <t>Bénéfice de l'exercice</t>
  </si>
  <si>
    <t>Tantièmes</t>
  </si>
  <si>
    <t>Créanciers AFC</t>
  </si>
  <si>
    <t>Réserve l. du bénéfice</t>
  </si>
  <si>
    <t>Réserve l. du capital</t>
  </si>
  <si>
    <t>Fonds pour autofin.</t>
  </si>
  <si>
    <t>Bénéfice reporté</t>
  </si>
  <si>
    <t>3/4 du montant de dividende</t>
  </si>
  <si>
    <t>Intérêts moratoires client</t>
  </si>
  <si>
    <t>Pas précisé comment</t>
  </si>
  <si>
    <t>écriture 4, 6 et 7</t>
  </si>
  <si>
    <t>écriture 4 - 1000</t>
  </si>
  <si>
    <t>écriture 6 + 7, reste du 4</t>
  </si>
  <si>
    <t>260% x 30'000.- x 35%</t>
  </si>
  <si>
    <t>255 % x 30'000.- x 10% + 1300</t>
  </si>
  <si>
    <t>260% x 30'000.- x 65%</t>
  </si>
  <si>
    <t>6000 + 500</t>
  </si>
  <si>
    <t>230 x 0,90</t>
  </si>
  <si>
    <t>rien à comptabiliser</t>
  </si>
  <si>
    <t>Valeur repas : 20x12= 240</t>
  </si>
  <si>
    <t>6740 x (5.125% + 1,1% +0,21%)</t>
  </si>
  <si>
    <t>6740 x 2,4%</t>
  </si>
  <si>
    <t>Avances de salaires</t>
  </si>
  <si>
    <t>ok j'ai pas précisé comment…</t>
  </si>
  <si>
    <t>6740 x 2,3% /2</t>
  </si>
  <si>
    <t>Associés</t>
  </si>
  <si>
    <t>salaire de base + demi treizième</t>
  </si>
  <si>
    <t>(6000+(18x12))x5.125%</t>
  </si>
  <si>
    <t>60 x 0.90</t>
  </si>
  <si>
    <t>(6740x13/12)-(30'000/12) x 6%</t>
  </si>
  <si>
    <t>(4216*13/12)-(30'000/12)x6%</t>
  </si>
  <si>
    <t>Saisie OP</t>
  </si>
  <si>
    <t>6216 x 2,4%</t>
  </si>
  <si>
    <t>6216 x 2,3% / 2</t>
  </si>
  <si>
    <t>Dette caisse ALFA</t>
  </si>
  <si>
    <t>6740 x 10,25% x 1% + 433,70</t>
  </si>
  <si>
    <t>6740 x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</si>
</sst>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sz val="9"/>
      <color theme="1"/>
      <name val="Helvetica"/>
      <family val="2"/>
    </font>
    <font>
      <sz val="10"/>
      <color rgb="FFFF0000"/>
      <name val="Helvetica"/>
      <family val="2"/>
    </font>
    <font>
      <b/>
      <sz val="10"/>
      <color theme="1"/>
      <name val="Helvetica"/>
      <family val="2"/>
    </font>
    <font>
      <b/>
      <sz val="10"/>
      <color rgb="FFFF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2" borderId="4" xfId="0" applyNumberFormat="1" applyFont="1" applyFill="1" applyBorder="1"/>
    <xf numFmtId="0" fontId="2" fillId="2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4" borderId="0" xfId="0" applyFont="1" applyFill="1" applyBorder="1" applyProtection="1">
      <protection locked="0"/>
    </xf>
    <xf numFmtId="10" fontId="3" fillId="4" borderId="0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/>
  <dimension ref="A1:L195"/>
  <sheetViews>
    <sheetView tabSelected="1" zoomScaleNormal="120" workbookViewId="0">
      <pane ySplit="6940" topLeftCell="A183"/>
      <selection activeCell="L64" sqref="A1:L64"/>
      <selection pane="bottomLeft" activeCell="M197" sqref="M197"/>
    </sheetView>
  </sheetViews>
  <sheetFormatPr baseColWidth="10" defaultColWidth="11.5" defaultRowHeight="12" customHeight="1" x14ac:dyDescent="0.15"/>
  <cols>
    <col min="1" max="1" width="3.1640625" style="3" bestFit="1" customWidth="1"/>
    <col min="2" max="3" width="17.5" style="1" customWidth="1"/>
    <col min="4" max="4" width="25.5" style="11" customWidth="1"/>
    <col min="5" max="10" width="5.5" style="12" hidden="1" customWidth="1"/>
    <col min="11" max="12" width="11.5" style="2" customWidth="1"/>
    <col min="13" max="16384" width="11.5" style="1"/>
  </cols>
  <sheetData>
    <row r="1" spans="1:12" ht="12" customHeight="1" x14ac:dyDescent="0.15">
      <c r="A1" s="21" t="s">
        <v>143</v>
      </c>
      <c r="H1" s="13">
        <f>SUM(K3:K64)</f>
        <v>265390.05</v>
      </c>
      <c r="I1" s="13">
        <f>SUM(L3:L64)</f>
        <v>265390</v>
      </c>
      <c r="J1" s="14"/>
    </row>
    <row r="2" spans="1:12" ht="12" customHeight="1" x14ac:dyDescent="0.15">
      <c r="A2" s="3" t="s">
        <v>0</v>
      </c>
      <c r="B2" s="1" t="s">
        <v>1</v>
      </c>
      <c r="C2" s="1" t="s">
        <v>2</v>
      </c>
      <c r="D2" s="11" t="s">
        <v>3</v>
      </c>
      <c r="E2" s="12" t="s">
        <v>0</v>
      </c>
      <c r="F2" s="12" t="s">
        <v>1</v>
      </c>
      <c r="G2" s="12" t="s">
        <v>2</v>
      </c>
      <c r="H2" s="12" t="s">
        <v>1</v>
      </c>
      <c r="I2" s="12" t="s">
        <v>2</v>
      </c>
      <c r="K2" s="2" t="s">
        <v>1</v>
      </c>
      <c r="L2" s="2" t="s">
        <v>2</v>
      </c>
    </row>
    <row r="3" spans="1:12" ht="12" customHeight="1" x14ac:dyDescent="0.15">
      <c r="A3" s="3">
        <f>IF(E3="","",E3)</f>
        <v>1</v>
      </c>
      <c r="B3" s="1" t="str">
        <f t="shared" ref="B3:B64" si="0">IF(F3="","",VLOOKUP(F3,plancomptable,2,FALSE))</f>
        <v>Associés</v>
      </c>
      <c r="C3" s="1" t="str">
        <f t="shared" ref="C3:C64" si="1">IF(G3="","",VLOOKUP(G3,plancomptable,2,FALSE))</f>
        <v/>
      </c>
      <c r="D3" s="11" t="s">
        <v>134</v>
      </c>
      <c r="E3" s="12">
        <v>1</v>
      </c>
      <c r="F3" s="12">
        <v>1801</v>
      </c>
      <c r="H3" s="12">
        <v>22000</v>
      </c>
      <c r="I3" s="12" t="str">
        <f>IF(
IF(ISBLANK(J3),"",
IF(J3&lt;&gt;J4,
IF(J3&lt;&gt;J2,"",
IF(J3&lt;&gt;J1,IF(SUM(H2:H2)&lt;SUM(I2:I2),"",SUM(H2:H2)-SUM(I2:I2)),
IF(J3&lt;&gt;#REF!,IF(SUM(H1:H2)&lt;SUM(I1:I2),"",SUM(H1:H2)-SUM(I1:I2)),
IF(J3&lt;&gt;#REF!,IF(SUM(#REF!)&lt;SUM(#REF!),"",SUM(#REF!)-SUM(#REF!)),
IF(J3&lt;&gt;#REF!,IF(SUM(#REF!)&lt;SUM(#REF!),"",SUM(#REF!)-SUM(#REF!)),
IF(J3&lt;&gt;#REF!,IF(SUM(#REF!)&lt;SUM(#REF!),"",SUM(#REF!)-SUM(#REF!)),
"après 6ème ligne")))))),""))&gt;0,IF(ISBLANK(J3),"",
IF(J3&lt;&gt;J4,
IF(J3&lt;&gt;J2,"",
IF(J3&lt;&gt;J1,IF(SUM(H2:H2)&lt;SUM(I2:I2),"",SUM(H2:H2)-SUM(I2:I2)),
IF(J3&lt;&gt;#REF!,IF(SUM(H1:H2)&lt;SUM(I1:I2),"",SUM(H1:H2)-SUM(I1:I2)),
IF(J3&lt;&gt;#REF!,IF(SUM(#REF!)&lt;SUM(#REF!),"",SUM(#REF!)-SUM(#REF!)),
IF(J3&lt;&gt;#REF!,IF(SUM(#REF!)&lt;SUM(#REF!),"",SUM(#REF!)-SUM(#REF!)),
IF(J3&lt;&gt;#REF!,IF(SUM(#REF!)&lt;SUM(#REF!),"",SUM(#REF!)-SUM(#REF!)),
"après 6ème ligne")))))),"")),"")</f>
        <v/>
      </c>
      <c r="J3" s="12">
        <f>IF(ISTEXT(E3),"",IF(ISNUMBER(E3),E3,IF(ISNUMBER(E2),E2,IF(ISNUMBER(E1),E1,IF(ISNUMBER(#REF!),#REF!,IF(ISNUMBER(#REF!),#REF!,IF(ISNUMBER(#REF!),#REF!,IF(ISNUMBER(#REF!),#REF!,IF(ISNUMBER(#REF!),#REF!,IF(ISNUMBER(#REF!),#REF!,IF(ISNUMBER(#REF!),#REF!,IF(ISNUMBER(#REF!),#REF!,""))))))))))))</f>
        <v>1</v>
      </c>
      <c r="K3" s="2">
        <f t="shared" ref="K3:K64" si="2">IF(B3="","-",IF(ISNUMBER(H3),MROUND(H3,0.05),"calcul"))</f>
        <v>22000</v>
      </c>
      <c r="L3" s="2" t="str">
        <f t="shared" ref="L3:L64" si="3">IF(C3="","-",IF(ISNUMBER(I3),MROUND(I3,0.05),"calcul"))</f>
        <v>-</v>
      </c>
    </row>
    <row r="4" spans="1:12" ht="12" customHeight="1" x14ac:dyDescent="0.15">
      <c r="A4" s="3" t="str">
        <f t="shared" ref="A4:A64" si="4">IF(E4="","",E4)</f>
        <v/>
      </c>
      <c r="B4" s="1" t="str">
        <f t="shared" si="0"/>
        <v/>
      </c>
      <c r="C4" s="1" t="str">
        <f t="shared" si="1"/>
        <v>Capital-social</v>
      </c>
      <c r="G4" s="12" t="s">
        <v>130</v>
      </c>
      <c r="H4" s="12" t="str">
        <f>IF(
IF(ISBLANK(J4),"",
IF(J4&lt;&gt;J5,
IF(J4&lt;&gt;J3,"",
IF(J4&lt;&gt;J2,IF(SUM(H3:H3)&gt;SUM(I3:I3),"",SUM(I3:I3)-SUM(H3:H3)),
IF(J4&lt;&gt;J1,IF(SUM(H2:H3)&gt;SUM(I2:I3),"",SUM(I2:I3)-SUM(H2:H3)),
IF(J4&lt;&gt;#REF!,IF(SUM(H1:H3)&gt;SUM(I1:I3),"",SUM(I1:I3)-SUM(H1:H3)),
IF(J4&lt;&gt;#REF!,IF(SUM(#REF!)&gt;SUM(#REF!),"",SUM(#REF!)-SUM(#REF!)),
IF(J4&lt;&gt;#REF!,IF(SUM(#REF!)&gt;SUM(#REF!),"",SUM(#REF!)-SUM(#REF!)),
"après 6ème ligne")))))),""))&gt;0,IF(ISBLANK(J4),"",
IF(J4&lt;&gt;J5,
IF(J4&lt;&gt;J3,"",
IF(J4&lt;&gt;J2,IF(SUM(H3:H3)&gt;SUM(I3:I3),"",SUM(I3:I3)-SUM(H3:H3)),
IF(J4&lt;&gt;J1,IF(SUM(H2:H3)&gt;SUM(I2:I3),"",SUM(I2:I3)-SUM(H2:H3)),
IF(J4&lt;&gt;#REF!,IF(SUM(H1:H3)&gt;SUM(I1:I3),"",SUM(I1:I3)-SUM(H1:H3)),
IF(J4&lt;&gt;#REF!,IF(SUM(#REF!)&gt;SUM(#REF!),"",SUM(#REF!)-SUM(#REF!)),
IF(J4&lt;&gt;#REF!,IF(SUM(#REF!)&gt;SUM(#REF!),"",SUM(#REF!)-SUM(#REF!)),
"après 6ème ligne")))))),"")),"")</f>
        <v/>
      </c>
      <c r="I4" s="12">
        <v>20000</v>
      </c>
      <c r="J4" s="12">
        <f>IF(ISTEXT(E4),"",IF(ISNUMBER(E4),E4,IF(ISNUMBER(E3),E3,IF(ISNUMBER(E2),E2,IF(ISNUMBER(E1),E1,IF(ISNUMBER(#REF!),#REF!,IF(ISNUMBER(#REF!),#REF!,IF(ISNUMBER(#REF!),#REF!,IF(ISNUMBER(#REF!),#REF!,IF(ISNUMBER(#REF!),#REF!,IF(ISNUMBER(#REF!),#REF!,IF(ISNUMBER(#REF!),#REF!,""))))))))))))</f>
        <v>1</v>
      </c>
      <c r="K4" s="2" t="str">
        <f t="shared" si="2"/>
        <v>-</v>
      </c>
      <c r="L4" s="2">
        <f t="shared" si="3"/>
        <v>20000</v>
      </c>
    </row>
    <row r="5" spans="1:12" ht="12" customHeight="1" x14ac:dyDescent="0.15">
      <c r="A5" s="3" t="str">
        <f t="shared" si="4"/>
        <v/>
      </c>
      <c r="B5" s="1" t="str">
        <f t="shared" si="0"/>
        <v/>
      </c>
      <c r="C5" s="1" t="str">
        <f t="shared" si="1"/>
        <v>Prime à l'émission</v>
      </c>
      <c r="G5" s="12" t="s">
        <v>132</v>
      </c>
      <c r="H5" s="12" t="str">
        <f t="shared" ref="H5" si="5">IF(
IF(ISBLANK(J5),"",
IF(J5&lt;&gt;J6,
IF(J5&lt;&gt;J4,"",
IF(J5&lt;&gt;J3,IF(SUM(H4:H4)&gt;SUM(I4:I4),"",SUM(I4:I4)-SUM(H4:H4)),
IF(J5&lt;&gt;J2,IF(SUM(H3:H4)&gt;SUM(I3:I4),"",SUM(I3:I4)-SUM(H3:H4)),
IF(J5&lt;&gt;J1,IF(SUM(H2:H4)&gt;SUM(I2:I4),"",SUM(I2:I4)-SUM(H2:H4)),
IF(J5&lt;&gt;#REF!,IF(SUM(H1:H4)&gt;SUM(I1:I4),"",SUM(I1:I4)-SUM(H1:H4)),
IF(J5&lt;&gt;#REF!,IF(SUM(#REF!)&gt;SUM(#REF!),"",SUM(#REF!)-SUM(#REF!)),
"après 6ème ligne")))))),""))&gt;0,IF(ISBLANK(J5),"",
IF(J5&lt;&gt;J6,
IF(J5&lt;&gt;J4,"",
IF(J5&lt;&gt;J3,IF(SUM(H4:H4)&gt;SUM(I4:I4),"",SUM(I4:I4)-SUM(H4:H4)),
IF(J5&lt;&gt;J2,IF(SUM(H3:H4)&gt;SUM(I3:I4),"",SUM(I3:I4)-SUM(H3:H4)),
IF(J5&lt;&gt;J1,IF(SUM(H2:H4)&gt;SUM(I2:I4),"",SUM(I2:I4)-SUM(H2:H4)),
IF(J5&lt;&gt;#REF!,IF(SUM(H1:H4)&gt;SUM(I1:I4),"",SUM(I1:I4)-SUM(H1:H4)),
IF(J5&lt;&gt;#REF!,IF(SUM(#REF!)&gt;SUM(#REF!),"",SUM(#REF!)-SUM(#REF!)),
"après 6ème ligne")))))),"")),"")</f>
        <v/>
      </c>
      <c r="I5" s="12">
        <f t="shared" ref="I5" si="6">IF(
IF(ISBLANK(J5),"",
IF(J5&lt;&gt;J6,
IF(J5&lt;&gt;J4,"",
IF(J5&lt;&gt;J3,IF(SUM(H4:H4)&lt;SUM(I4:I4),"",SUM(H4:H4)-SUM(I4:I4)),
IF(J5&lt;&gt;J2,IF(SUM(H3:H4)&lt;SUM(I3:I4),"",SUM(H3:H4)-SUM(I3:I4)),
IF(J5&lt;&gt;J1,IF(SUM(H2:H4)&lt;SUM(I2:I4),"",SUM(H2:H4)-SUM(I2:I4)),
IF(J5&lt;&gt;#REF!,IF(SUM(H1:H4)&lt;SUM(I1:I4),"",SUM(H1:H4)-SUM(I1:I4)),
IF(J5&lt;&gt;#REF!,IF(SUM(#REF!)&lt;SUM(#REF!),"",SUM(#REF!)-SUM(#REF!)),
"après 6ème ligne")))))),""))&gt;0,IF(ISBLANK(J5),"",
IF(J5&lt;&gt;J6,
IF(J5&lt;&gt;J4,"",
IF(J5&lt;&gt;J3,IF(SUM(H4:H4)&lt;SUM(I4:I4),"",SUM(H4:H4)-SUM(I4:I4)),
IF(J5&lt;&gt;J2,IF(SUM(H3:H4)&lt;SUM(I3:I4),"",SUM(H3:H4)-SUM(I3:I4)),
IF(J5&lt;&gt;J1,IF(SUM(H2:H4)&lt;SUM(I2:I4),"",SUM(H2:H4)-SUM(I2:I4)),
IF(J5&lt;&gt;#REF!,IF(SUM(H1:H4)&lt;SUM(I1:I4),"",SUM(H1:H4)-SUM(I1:I4)),
IF(J5&lt;&gt;#REF!,IF(SUM(#REF!)&lt;SUM(#REF!),"",SUM(#REF!)-SUM(#REF!)),
"après 6ème ligne")))))),"")),"")</f>
        <v>2000</v>
      </c>
      <c r="J5" s="12">
        <f>IF(ISTEXT(E5),"",IF(ISNUMBER(E5),E5,IF(ISNUMBER(E4),E4,IF(ISNUMBER(E3),E3,IF(ISNUMBER(E2),E2,IF(ISNUMBER(E1),E1,IF(ISNUMBER(#REF!),#REF!,IF(ISNUMBER(#REF!),#REF!,IF(ISNUMBER(#REF!),#REF!,IF(ISNUMBER(#REF!),#REF!,IF(ISNUMBER(#REF!),#REF!,IF(ISNUMBER(#REF!),#REF!,""))))))))))))</f>
        <v>1</v>
      </c>
      <c r="K5" s="2" t="str">
        <f t="shared" si="2"/>
        <v>-</v>
      </c>
      <c r="L5" s="2">
        <f t="shared" si="3"/>
        <v>2000</v>
      </c>
    </row>
    <row r="6" spans="1:12" ht="12" customHeight="1" x14ac:dyDescent="0.15">
      <c r="A6" s="3">
        <f t="shared" si="4"/>
        <v>1.1000000000000001</v>
      </c>
      <c r="B6" s="1" t="str">
        <f t="shared" si="0"/>
        <v/>
      </c>
      <c r="C6" s="1" t="str">
        <f t="shared" si="1"/>
        <v>Associés</v>
      </c>
      <c r="D6" s="11" t="s">
        <v>135</v>
      </c>
      <c r="E6" s="12">
        <v>1.1000000000000001</v>
      </c>
      <c r="G6" s="12">
        <v>1801</v>
      </c>
      <c r="H6" s="12" t="str">
        <f t="shared" ref="H6" si="7">IF(
IF(ISBLANK(J6),"",
IF(J6&lt;&gt;J7,
IF(J6&lt;&gt;J5,"",
IF(J6&lt;&gt;J4,IF(SUM(H5:H5)&gt;SUM(I5:I5),"",SUM(I5:I5)-SUM(H5:H5)),
IF(J6&lt;&gt;J3,IF(SUM(H4:H5)&gt;SUM(I4:I5),"",SUM(I4:I5)-SUM(H4:H5)),
IF(J6&lt;&gt;J2,IF(SUM(H3:H5)&gt;SUM(I3:I5),"",SUM(I3:I5)-SUM(H3:H5)),
IF(J6&lt;&gt;J1,IF(SUM(H2:H5)&gt;SUM(I2:I5),"",SUM(I2:I5)-SUM(H2:H5)),
IF(J6&lt;&gt;#REF!,IF(SUM(H1:H5)&gt;SUM(I1:I5),"",SUM(I1:I5)-SUM(H1:H5)),
"après 6ème ligne")))))),""))&gt;0,IF(ISBLANK(J6),"",
IF(J6&lt;&gt;J7,
IF(J6&lt;&gt;J5,"",
IF(J6&lt;&gt;J4,IF(SUM(H5:H5)&gt;SUM(I5:I5),"",SUM(I5:I5)-SUM(H5:H5)),
IF(J6&lt;&gt;J3,IF(SUM(H4:H5)&gt;SUM(I4:I5),"",SUM(I4:I5)-SUM(H4:H5)),
IF(J6&lt;&gt;J2,IF(SUM(H3:H5)&gt;SUM(I3:I5),"",SUM(I3:I5)-SUM(H3:H5)),
IF(J6&lt;&gt;J1,IF(SUM(H2:H5)&gt;SUM(I2:I5),"",SUM(I2:I5)-SUM(H2:H5)),
IF(J6&lt;&gt;#REF!,IF(SUM(H1:H5)&gt;SUM(I1:I5),"",SUM(I1:I5)-SUM(H1:H5)),
"après 6ème ligne")))))),"")),"")</f>
        <v/>
      </c>
      <c r="I6" s="12">
        <f>15000*1.1</f>
        <v>16500</v>
      </c>
      <c r="J6" s="12">
        <f>IF(ISTEXT(E6),"",IF(ISNUMBER(E6),E6,IF(ISNUMBER(E5),E5,IF(ISNUMBER(E4),E4,IF(ISNUMBER(E3),E3,IF(ISNUMBER(E2),E2,IF(ISNUMBER(E1),E1,IF(ISNUMBER(#REF!),#REF!,IF(ISNUMBER(#REF!),#REF!,IF(ISNUMBER(#REF!),#REF!,IF(ISNUMBER(#REF!),#REF!,IF(ISNUMBER(#REF!),#REF!,""))))))))))))</f>
        <v>1.1000000000000001</v>
      </c>
      <c r="K6" s="2" t="str">
        <f t="shared" si="2"/>
        <v>-</v>
      </c>
      <c r="L6" s="2">
        <f t="shared" si="3"/>
        <v>16500</v>
      </c>
    </row>
    <row r="7" spans="1:12" ht="12" customHeight="1" x14ac:dyDescent="0.15">
      <c r="A7" s="3" t="str">
        <f t="shared" si="4"/>
        <v/>
      </c>
      <c r="B7" s="1" t="str">
        <f t="shared" si="0"/>
        <v>Véhicule</v>
      </c>
      <c r="C7" s="1" t="str">
        <f t="shared" si="1"/>
        <v/>
      </c>
      <c r="D7" s="11" t="s">
        <v>136</v>
      </c>
      <c r="F7" s="12">
        <v>1530</v>
      </c>
      <c r="H7" s="12">
        <f>8000*1.2</f>
        <v>9600</v>
      </c>
      <c r="I7" s="12" t="str">
        <f t="shared" ref="I7:I57" si="8">IF(
IF(ISBLANK(J7),"",
IF(J7&lt;&gt;J8,
IF(J7&lt;&gt;J6,"",
IF(J7&lt;&gt;J5,IF(SUM(H6:H6)&lt;SUM(I6:I6),"",SUM(H6:H6)-SUM(I6:I6)),
IF(J7&lt;&gt;J4,IF(SUM(H5:H6)&lt;SUM(I5:I6),"",SUM(H5:H6)-SUM(I5:I6)),
IF(J7&lt;&gt;J3,IF(SUM(H4:H6)&lt;SUM(I4:I6),"",SUM(H4:H6)-SUM(I4:I6)),
IF(J7&lt;&gt;J2,IF(SUM(H3:H6)&lt;SUM(I3:I6),"",SUM(H3:H6)-SUM(I3:I6)),
IF(J7&lt;&gt;J1,IF(SUM(H2:H6)&lt;SUM(I2:I6),"",SUM(H2:H6)-SUM(I2:I6)),
"après 6ème ligne")))))),""))&gt;0,IF(ISBLANK(J7),"",
IF(J7&lt;&gt;J8,
IF(J7&lt;&gt;J6,"",
IF(J7&lt;&gt;J5,IF(SUM(H6:H6)&lt;SUM(I6:I6),"",SUM(H6:H6)-SUM(I6:I6)),
IF(J7&lt;&gt;J4,IF(SUM(H5:H6)&lt;SUM(I5:I6),"",SUM(H5:H6)-SUM(I5:I6)),
IF(J7&lt;&gt;J3,IF(SUM(H4:H6)&lt;SUM(I4:I6),"",SUM(H4:H6)-SUM(I4:I6)),
IF(J7&lt;&gt;J2,IF(SUM(H3:H6)&lt;SUM(I3:I6),"",SUM(H3:H6)-SUM(I3:I6)),
IF(J7&lt;&gt;J1,IF(SUM(H2:H6)&lt;SUM(I2:I6),"",SUM(H2:H6)-SUM(I2:I6)),
"après 6ème ligne")))))),"")),"")</f>
        <v/>
      </c>
      <c r="J7" s="12">
        <f>IF(ISTEXT(E7),"",IF(ISNUMBER(E7),E7,IF(ISNUMBER(E6),E6,IF(ISNUMBER(E5),E5,IF(ISNUMBER(E4),E4,IF(ISNUMBER(E3),E3,IF(ISNUMBER(E2),E2,IF(ISNUMBER(E1),E1,IF(ISNUMBER(#REF!),#REF!,IF(ISNUMBER(#REF!),#REF!,IF(ISNUMBER(#REF!),#REF!,IF(ISNUMBER(#REF!),#REF!,""))))))))))))</f>
        <v>1.1000000000000001</v>
      </c>
      <c r="K7" s="2">
        <f t="shared" si="2"/>
        <v>9600</v>
      </c>
      <c r="L7" s="2" t="str">
        <f t="shared" si="3"/>
        <v>-</v>
      </c>
    </row>
    <row r="8" spans="1:12" ht="12" customHeight="1" x14ac:dyDescent="0.15">
      <c r="A8" s="3" t="str">
        <f t="shared" si="4"/>
        <v/>
      </c>
      <c r="B8" s="1" t="str">
        <f t="shared" si="0"/>
        <v>Débiteurs</v>
      </c>
      <c r="C8" s="1" t="str">
        <f t="shared" si="1"/>
        <v/>
      </c>
      <c r="D8" s="11" t="s">
        <v>137</v>
      </c>
      <c r="F8" s="12">
        <v>1100</v>
      </c>
      <c r="H8" s="12">
        <v>600</v>
      </c>
      <c r="I8" s="12" t="str">
        <f t="shared" si="8"/>
        <v/>
      </c>
      <c r="J8" s="12">
        <f>IF(ISTEXT(E8),"",IF(ISNUMBER(E8),E8,IF(ISNUMBER(E7),E7,IF(ISNUMBER(E6),E6,IF(ISNUMBER(E5),E5,IF(ISNUMBER(E4),E4,IF(ISNUMBER(E3),E3,IF(ISNUMBER(E2),E2,IF(ISNUMBER(E1),E1,IF(ISNUMBER(#REF!),#REF!,IF(ISNUMBER(#REF!),#REF!,IF(ISNUMBER(#REF!),#REF!,""))))))))))))</f>
        <v>1.1000000000000001</v>
      </c>
      <c r="K8" s="2">
        <f t="shared" si="2"/>
        <v>600</v>
      </c>
      <c r="L8" s="2" t="str">
        <f t="shared" si="3"/>
        <v>-</v>
      </c>
    </row>
    <row r="9" spans="1:12" ht="12" customHeight="1" x14ac:dyDescent="0.15">
      <c r="A9" s="3" t="str">
        <f t="shared" si="4"/>
        <v/>
      </c>
      <c r="B9" s="1" t="str">
        <f t="shared" si="0"/>
        <v/>
      </c>
      <c r="C9" s="1" t="str">
        <f t="shared" si="1"/>
        <v>Ducroire</v>
      </c>
      <c r="D9" s="11" t="s">
        <v>138</v>
      </c>
      <c r="G9" s="12">
        <v>1109</v>
      </c>
      <c r="H9" s="12" t="str">
        <f t="shared" ref="H9:H63" si="9">IF(
IF(ISBLANK(J9),"",
IF(J9&lt;&gt;J10,
IF(J9&lt;&gt;J8,"",
IF(J9&lt;&gt;J7,IF(SUM(H8:H8)&gt;SUM(I8:I8),"",SUM(I8:I8)-SUM(H8:H8)),
IF(J9&lt;&gt;J6,IF(SUM(H7:H8)&gt;SUM(I7:I8),"",SUM(I7:I8)-SUM(H7:H8)),
IF(J9&lt;&gt;J5,IF(SUM(H6:H8)&gt;SUM(I6:I8),"",SUM(I6:I8)-SUM(H6:H8)),
IF(J9&lt;&gt;J4,IF(SUM(H5:H8)&gt;SUM(I5:I8),"",SUM(I5:I8)-SUM(H5:H8)),
IF(J9&lt;&gt;J3,IF(SUM(H4:H8)&gt;SUM(I4:I8),"",SUM(I4:I8)-SUM(H4:H8)),
"après 6ème ligne")))))),""))&gt;0,IF(ISBLANK(J9),"",
IF(J9&lt;&gt;J10,
IF(J9&lt;&gt;J8,"",
IF(J9&lt;&gt;J7,IF(SUM(H8:H8)&gt;SUM(I8:I8),"",SUM(I8:I8)-SUM(H8:H8)),
IF(J9&lt;&gt;J6,IF(SUM(H7:H8)&gt;SUM(I7:I8),"",SUM(I7:I8)-SUM(H7:H8)),
IF(J9&lt;&gt;J5,IF(SUM(H6:H8)&gt;SUM(I6:I8),"",SUM(I6:I8)-SUM(H6:H8)),
IF(J9&lt;&gt;J4,IF(SUM(H5:H8)&gt;SUM(I5:I8),"",SUM(I5:I8)-SUM(H5:H8)),
IF(J9&lt;&gt;J3,IF(SUM(H4:H8)&gt;SUM(I4:I8),"",SUM(I4:I8)-SUM(H4:H8)),
"après 6ème ligne")))))),"")),"")</f>
        <v/>
      </c>
      <c r="I9" s="12">
        <f>600*0.05</f>
        <v>30</v>
      </c>
      <c r="J9" s="12">
        <f>IF(ISTEXT(E9),"",IF(ISNUMBER(E9),E9,IF(ISNUMBER(E8),E8,IF(ISNUMBER(E7),E7,IF(ISNUMBER(E6),E6,IF(ISNUMBER(E5),E5,IF(ISNUMBER(E4),E4,IF(ISNUMBER(E3),E3,IF(ISNUMBER(E2),E2,IF(ISNUMBER(E1),E1,IF(ISNUMBER(#REF!),#REF!,IF(ISNUMBER(#REF!),#REF!,""))))))))))))</f>
        <v>1.1000000000000001</v>
      </c>
      <c r="K9" s="2" t="str">
        <f t="shared" si="2"/>
        <v>-</v>
      </c>
      <c r="L9" s="2">
        <f t="shared" si="3"/>
        <v>30</v>
      </c>
    </row>
    <row r="10" spans="1:12" ht="12" customHeight="1" x14ac:dyDescent="0.15">
      <c r="A10" s="3" t="str">
        <f t="shared" si="4"/>
        <v/>
      </c>
      <c r="B10" s="1" t="str">
        <f t="shared" si="0"/>
        <v/>
      </c>
      <c r="C10" s="1" t="str">
        <f t="shared" si="1"/>
        <v>Autres dettes</v>
      </c>
      <c r="D10" s="11" t="s">
        <v>139</v>
      </c>
      <c r="G10" s="12">
        <v>2010</v>
      </c>
      <c r="H10" s="12" t="str">
        <f t="shared" si="9"/>
        <v/>
      </c>
      <c r="I10" s="12">
        <v>3000</v>
      </c>
      <c r="J10" s="12">
        <f>IF(ISTEXT(E10),"",IF(ISNUMBER(E10),E10,IF(ISNUMBER(E9),E9,IF(ISNUMBER(E8),E8,IF(ISNUMBER(E7),E7,IF(ISNUMBER(E6),E6,IF(ISNUMBER(E5),E5,IF(ISNUMBER(E4),E4,IF(ISNUMBER(E3),E3,IF(ISNUMBER(E2),E2,IF(ISNUMBER(E1),E1,IF(ISNUMBER(#REF!),#REF!,""))))))))))))</f>
        <v>1.1000000000000001</v>
      </c>
      <c r="K10" s="2" t="str">
        <f t="shared" si="2"/>
        <v>-</v>
      </c>
      <c r="L10" s="2">
        <f t="shared" si="3"/>
        <v>3000</v>
      </c>
    </row>
    <row r="11" spans="1:12" ht="12" customHeight="1" x14ac:dyDescent="0.15">
      <c r="A11" s="3" t="str">
        <f t="shared" si="4"/>
        <v/>
      </c>
      <c r="B11" s="1" t="str">
        <f t="shared" si="0"/>
        <v>Banque</v>
      </c>
      <c r="C11" s="1" t="str">
        <f t="shared" si="1"/>
        <v/>
      </c>
      <c r="D11" s="11" t="s">
        <v>140</v>
      </c>
      <c r="F11" s="12">
        <v>1020</v>
      </c>
      <c r="H11" s="12">
        <f t="shared" si="9"/>
        <v>9330</v>
      </c>
      <c r="I11" s="12" t="str">
        <f t="shared" si="8"/>
        <v/>
      </c>
      <c r="J11" s="12">
        <f t="shared" ref="J11:J22" si="10">IF(ISTEXT(E11),"",IF(ISNUMBER(E11),E11,IF(ISNUMBER(E10),E10,IF(ISNUMBER(E9),E9,IF(ISNUMBER(E8),E8,IF(ISNUMBER(E7),E7,IF(ISNUMBER(E6),E6,IF(ISNUMBER(E5),E5,IF(ISNUMBER(E4),E4,IF(ISNUMBER(E3),E3,IF(ISNUMBER(E2),E2,IF(ISNUMBER(E1),E1,""))))))))))))</f>
        <v>1.1000000000000001</v>
      </c>
      <c r="K11" s="2">
        <f t="shared" si="2"/>
        <v>9330</v>
      </c>
      <c r="L11" s="2" t="str">
        <f t="shared" si="3"/>
        <v>-</v>
      </c>
    </row>
    <row r="12" spans="1:12" ht="12" customHeight="1" x14ac:dyDescent="0.15">
      <c r="A12" s="3">
        <f t="shared" si="4"/>
        <v>1.2</v>
      </c>
      <c r="B12" s="1" t="str">
        <f t="shared" si="0"/>
        <v/>
      </c>
      <c r="C12" s="1" t="str">
        <f t="shared" si="1"/>
        <v>Associés</v>
      </c>
      <c r="D12" s="11" t="s">
        <v>141</v>
      </c>
      <c r="E12" s="12">
        <v>1.2</v>
      </c>
      <c r="G12" s="12">
        <v>1801</v>
      </c>
      <c r="I12" s="12">
        <v>5500</v>
      </c>
      <c r="J12" s="12">
        <f t="shared" si="10"/>
        <v>1.2</v>
      </c>
      <c r="K12" s="2" t="str">
        <f t="shared" si="2"/>
        <v>-</v>
      </c>
      <c r="L12" s="2">
        <f t="shared" si="3"/>
        <v>5500</v>
      </c>
    </row>
    <row r="13" spans="1:12" ht="12" customHeight="1" x14ac:dyDescent="0.15">
      <c r="A13" s="3" t="str">
        <f t="shared" si="4"/>
        <v/>
      </c>
      <c r="B13" s="1" t="str">
        <f t="shared" si="0"/>
        <v>Autres dettes</v>
      </c>
      <c r="C13" s="1" t="str">
        <f t="shared" si="1"/>
        <v/>
      </c>
      <c r="D13" s="11" t="s">
        <v>142</v>
      </c>
      <c r="F13" s="12">
        <v>2010</v>
      </c>
      <c r="H13" s="12">
        <v>3000</v>
      </c>
      <c r="I13" s="12" t="str">
        <f t="shared" si="8"/>
        <v/>
      </c>
      <c r="J13" s="12">
        <f t="shared" si="10"/>
        <v>1.2</v>
      </c>
      <c r="K13" s="2">
        <f t="shared" si="2"/>
        <v>3000</v>
      </c>
      <c r="L13" s="2" t="str">
        <f t="shared" si="3"/>
        <v>-</v>
      </c>
    </row>
    <row r="14" spans="1:12" ht="12" customHeight="1" x14ac:dyDescent="0.15">
      <c r="A14" s="3" t="str">
        <f t="shared" si="4"/>
        <v/>
      </c>
      <c r="B14" s="1" t="str">
        <f t="shared" si="0"/>
        <v>Banque</v>
      </c>
      <c r="C14" s="1" t="str">
        <f t="shared" si="1"/>
        <v/>
      </c>
      <c r="F14" s="12">
        <v>1020</v>
      </c>
      <c r="H14" s="12">
        <f t="shared" si="9"/>
        <v>2500</v>
      </c>
      <c r="I14" s="12" t="str">
        <f t="shared" si="8"/>
        <v/>
      </c>
      <c r="J14" s="12">
        <f t="shared" si="10"/>
        <v>1.2</v>
      </c>
      <c r="K14" s="2">
        <f t="shared" si="2"/>
        <v>2500</v>
      </c>
      <c r="L14" s="2" t="str">
        <f t="shared" si="3"/>
        <v>-</v>
      </c>
    </row>
    <row r="15" spans="1:12" ht="12" customHeight="1" x14ac:dyDescent="0.15">
      <c r="A15" s="3">
        <f t="shared" si="4"/>
        <v>2</v>
      </c>
      <c r="B15" s="1" t="str">
        <f t="shared" si="0"/>
        <v>Caisse</v>
      </c>
      <c r="C15" s="1" t="str">
        <f t="shared" si="1"/>
        <v/>
      </c>
      <c r="D15" s="11" t="s">
        <v>144</v>
      </c>
      <c r="E15" s="12">
        <v>2</v>
      </c>
      <c r="F15" s="12">
        <v>1000</v>
      </c>
      <c r="H15" s="12">
        <f>(6000*0.15)*(1+normal)</f>
        <v>972.00000000000011</v>
      </c>
      <c r="I15" s="12" t="str">
        <f t="shared" si="8"/>
        <v/>
      </c>
      <c r="J15" s="12">
        <f t="shared" si="10"/>
        <v>2</v>
      </c>
      <c r="K15" s="2">
        <f t="shared" si="2"/>
        <v>972</v>
      </c>
      <c r="L15" s="2" t="str">
        <f t="shared" si="3"/>
        <v>-</v>
      </c>
    </row>
    <row r="16" spans="1:12" ht="12" customHeight="1" x14ac:dyDescent="0.15">
      <c r="A16" s="3" t="str">
        <f t="shared" si="4"/>
        <v/>
      </c>
      <c r="B16" s="1" t="str">
        <f t="shared" si="0"/>
        <v/>
      </c>
      <c r="C16" s="1" t="str">
        <f t="shared" si="1"/>
        <v>TVA due</v>
      </c>
      <c r="G16" s="12">
        <v>2200</v>
      </c>
      <c r="H16" s="12" t="str">
        <f t="shared" si="9"/>
        <v/>
      </c>
      <c r="I16" s="12">
        <f>900*normal</f>
        <v>72</v>
      </c>
      <c r="J16" s="12">
        <f t="shared" si="10"/>
        <v>2</v>
      </c>
      <c r="K16" s="2" t="str">
        <f t="shared" si="2"/>
        <v>-</v>
      </c>
      <c r="L16" s="2">
        <f t="shared" si="3"/>
        <v>72</v>
      </c>
    </row>
    <row r="17" spans="1:12" ht="12" customHeight="1" x14ac:dyDescent="0.15">
      <c r="A17" s="3" t="str">
        <f t="shared" si="4"/>
        <v/>
      </c>
      <c r="B17" s="1" t="str">
        <f t="shared" si="0"/>
        <v/>
      </c>
      <c r="C17" s="1" t="str">
        <f t="shared" si="1"/>
        <v>Acomptes de clients</v>
      </c>
      <c r="D17" s="11" t="s">
        <v>145</v>
      </c>
      <c r="G17" s="12">
        <v>2030</v>
      </c>
      <c r="H17" s="12" t="str">
        <f t="shared" si="9"/>
        <v/>
      </c>
      <c r="I17" s="12">
        <f t="shared" si="8"/>
        <v>900.00000000000011</v>
      </c>
      <c r="J17" s="12">
        <f t="shared" si="10"/>
        <v>2</v>
      </c>
      <c r="K17" s="2" t="str">
        <f t="shared" si="2"/>
        <v>-</v>
      </c>
      <c r="L17" s="2">
        <f t="shared" si="3"/>
        <v>900</v>
      </c>
    </row>
    <row r="18" spans="1:12" ht="12" customHeight="1" x14ac:dyDescent="0.15">
      <c r="A18" s="3">
        <f t="shared" si="4"/>
        <v>3</v>
      </c>
      <c r="B18" s="1" t="str">
        <f t="shared" si="0"/>
        <v>Bénéfice de l'exercice</v>
      </c>
      <c r="C18" s="1" t="str">
        <f t="shared" si="1"/>
        <v/>
      </c>
      <c r="E18" s="12">
        <v>3</v>
      </c>
      <c r="F18" s="12">
        <v>9200</v>
      </c>
      <c r="H18" s="12">
        <v>100000</v>
      </c>
      <c r="I18" s="12" t="str">
        <f t="shared" si="8"/>
        <v/>
      </c>
      <c r="J18" s="12">
        <f t="shared" si="10"/>
        <v>3</v>
      </c>
      <c r="K18" s="2">
        <f t="shared" si="2"/>
        <v>100000</v>
      </c>
      <c r="L18" s="2" t="str">
        <f t="shared" si="3"/>
        <v>-</v>
      </c>
    </row>
    <row r="19" spans="1:12" ht="12" customHeight="1" x14ac:dyDescent="0.15">
      <c r="A19" s="3" t="str">
        <f t="shared" si="4"/>
        <v/>
      </c>
      <c r="B19" s="1" t="str">
        <f t="shared" si="0"/>
        <v/>
      </c>
      <c r="C19" s="1" t="str">
        <f t="shared" si="1"/>
        <v>Tantièmes</v>
      </c>
      <c r="G19" s="12">
        <v>2262</v>
      </c>
      <c r="H19" s="12" t="str">
        <f t="shared" si="9"/>
        <v/>
      </c>
      <c r="I19" s="12">
        <v>3000</v>
      </c>
      <c r="J19" s="12">
        <f t="shared" si="10"/>
        <v>3</v>
      </c>
      <c r="K19" s="2" t="str">
        <f t="shared" si="2"/>
        <v>-</v>
      </c>
      <c r="L19" s="2">
        <f t="shared" si="3"/>
        <v>3000</v>
      </c>
    </row>
    <row r="20" spans="1:12" ht="12" customHeight="1" x14ac:dyDescent="0.15">
      <c r="A20" s="3" t="str">
        <f t="shared" si="4"/>
        <v/>
      </c>
      <c r="B20" s="1" t="str">
        <f t="shared" si="0"/>
        <v/>
      </c>
      <c r="C20" s="1" t="str">
        <f t="shared" si="1"/>
        <v>Dividendes</v>
      </c>
      <c r="D20" s="11" t="s">
        <v>161</v>
      </c>
      <c r="G20" s="12">
        <v>2261</v>
      </c>
      <c r="H20" s="12" t="str">
        <f t="shared" si="9"/>
        <v/>
      </c>
      <c r="I20" s="12">
        <f>30000*2.6*0.65</f>
        <v>50700</v>
      </c>
      <c r="J20" s="12">
        <f t="shared" si="10"/>
        <v>3</v>
      </c>
      <c r="K20" s="2" t="str">
        <f t="shared" si="2"/>
        <v>-</v>
      </c>
      <c r="L20" s="2">
        <f t="shared" si="3"/>
        <v>50700</v>
      </c>
    </row>
    <row r="21" spans="1:12" ht="12" customHeight="1" x14ac:dyDescent="0.15">
      <c r="A21" s="3" t="str">
        <f t="shared" si="4"/>
        <v/>
      </c>
      <c r="B21" s="1" t="str">
        <f t="shared" si="0"/>
        <v/>
      </c>
      <c r="C21" s="1" t="str">
        <f t="shared" si="1"/>
        <v>Créanciers AFC</v>
      </c>
      <c r="D21" s="11" t="s">
        <v>159</v>
      </c>
      <c r="G21" s="12">
        <v>2206</v>
      </c>
      <c r="H21" s="12" t="str">
        <f t="shared" si="9"/>
        <v/>
      </c>
      <c r="I21" s="12">
        <f>30000*2.6*0.35</f>
        <v>27300</v>
      </c>
      <c r="J21" s="12">
        <f t="shared" si="10"/>
        <v>3</v>
      </c>
      <c r="K21" s="2" t="str">
        <f t="shared" si="2"/>
        <v>-</v>
      </c>
      <c r="L21" s="2">
        <f t="shared" si="3"/>
        <v>27300</v>
      </c>
    </row>
    <row r="22" spans="1:12" ht="12" customHeight="1" x14ac:dyDescent="0.15">
      <c r="A22" s="3" t="str">
        <f t="shared" si="4"/>
        <v/>
      </c>
      <c r="B22" s="1" t="str">
        <f t="shared" si="0"/>
        <v/>
      </c>
      <c r="C22" s="1" t="str">
        <f t="shared" si="1"/>
        <v>Réserve l. du bénéfice</v>
      </c>
      <c r="D22" s="11" t="s">
        <v>160</v>
      </c>
      <c r="G22" s="12" t="s">
        <v>55</v>
      </c>
      <c r="H22" s="12" t="str">
        <f t="shared" si="9"/>
        <v/>
      </c>
      <c r="I22" s="12">
        <f>(2.55*30000*0.1)+1300</f>
        <v>8950</v>
      </c>
      <c r="J22" s="12">
        <f t="shared" si="10"/>
        <v>3</v>
      </c>
      <c r="K22" s="2" t="str">
        <f t="shared" si="2"/>
        <v>-</v>
      </c>
      <c r="L22" s="2">
        <f t="shared" si="3"/>
        <v>8950</v>
      </c>
    </row>
    <row r="23" spans="1:12" ht="12" customHeight="1" x14ac:dyDescent="0.15">
      <c r="A23" s="3" t="str">
        <f t="shared" si="4"/>
        <v/>
      </c>
      <c r="B23" s="1" t="str">
        <f t="shared" si="0"/>
        <v/>
      </c>
      <c r="C23" s="1" t="str">
        <f t="shared" si="1"/>
        <v>Fonds pour autofin.</v>
      </c>
      <c r="G23" s="12">
        <v>2863</v>
      </c>
      <c r="H23" s="12" t="str">
        <f t="shared" si="9"/>
        <v/>
      </c>
      <c r="I23" s="12">
        <v>10000</v>
      </c>
      <c r="J23" s="12">
        <f>IF(ISTEXT(E23),"",IF(ISNUMBER(E23),E23,IF(ISNUMBER(E22),E22,IF(ISNUMBER(E21),E21,IF(ISNUMBER(E20),E20,IF(ISNUMBER(E19),E19,IF(ISNUMBER(E18),E18,IF(ISNUMBER(E17),E17,IF(ISNUMBER(E16),E16,IF(ISNUMBER(E15),E15,IF(ISNUMBER(E14),E14,IF(ISNUMBER(E13),E13,""))))))))))))</f>
        <v>3</v>
      </c>
      <c r="K23" s="2" t="str">
        <f t="shared" si="2"/>
        <v>-</v>
      </c>
      <c r="L23" s="2">
        <f t="shared" si="3"/>
        <v>10000</v>
      </c>
    </row>
    <row r="24" spans="1:12" ht="12" customHeight="1" x14ac:dyDescent="0.15">
      <c r="A24" s="3" t="str">
        <f t="shared" si="4"/>
        <v/>
      </c>
      <c r="B24" s="1" t="str">
        <f t="shared" si="0"/>
        <v/>
      </c>
      <c r="C24" s="1" t="str">
        <f t="shared" si="1"/>
        <v>Bénéfice reporté</v>
      </c>
      <c r="G24" s="12" t="s">
        <v>58</v>
      </c>
      <c r="I24" s="12">
        <v>50</v>
      </c>
      <c r="J24" s="12">
        <f t="shared" ref="J24:J64" si="11">IF(ISTEXT(E24),"",IF(ISNUMBER(E24),E24,IF(ISNUMBER(E23),E23,IF(ISNUMBER(E22),E22,IF(ISNUMBER(E21),E21,IF(ISNUMBER(E20),E20,IF(ISNUMBER(E19),E19,IF(ISNUMBER(E18),E18,IF(ISNUMBER(E17),E17,IF(ISNUMBER(E16),E16,IF(ISNUMBER(E15),E15,IF(ISNUMBER(E14),E14,""))))))))))))</f>
        <v>3</v>
      </c>
      <c r="K24" s="2" t="str">
        <f t="shared" si="2"/>
        <v>-</v>
      </c>
      <c r="L24" s="2">
        <f t="shared" si="3"/>
        <v>50</v>
      </c>
    </row>
    <row r="25" spans="1:12" ht="12" customHeight="1" x14ac:dyDescent="0.15">
      <c r="A25" s="3">
        <f t="shared" si="4"/>
        <v>4</v>
      </c>
      <c r="B25" s="1" t="str">
        <f t="shared" si="0"/>
        <v/>
      </c>
      <c r="C25" s="1" t="str">
        <f t="shared" si="1"/>
        <v>Ventes de marchandises</v>
      </c>
      <c r="E25" s="12">
        <v>4</v>
      </c>
      <c r="G25" s="12">
        <v>3200</v>
      </c>
      <c r="H25" s="12" t="str">
        <f t="shared" si="9"/>
        <v/>
      </c>
      <c r="I25" s="12">
        <v>6000</v>
      </c>
      <c r="J25" s="12">
        <f t="shared" si="11"/>
        <v>4</v>
      </c>
      <c r="K25" s="2" t="str">
        <f t="shared" si="2"/>
        <v>-</v>
      </c>
      <c r="L25" s="2">
        <f t="shared" si="3"/>
        <v>6000</v>
      </c>
    </row>
    <row r="26" spans="1:12" ht="12" customHeight="1" x14ac:dyDescent="0.15">
      <c r="A26" s="3" t="str">
        <f t="shared" si="4"/>
        <v/>
      </c>
      <c r="B26" s="1" t="str">
        <f t="shared" si="0"/>
        <v>Rabais accordés sur march.</v>
      </c>
      <c r="C26" s="1" t="str">
        <f t="shared" si="1"/>
        <v/>
      </c>
      <c r="F26" s="12">
        <v>3210</v>
      </c>
      <c r="H26" s="12">
        <f>6000*0.05</f>
        <v>300</v>
      </c>
      <c r="I26" s="12" t="str">
        <f t="shared" si="8"/>
        <v/>
      </c>
      <c r="J26" s="12">
        <f t="shared" si="11"/>
        <v>4</v>
      </c>
      <c r="K26" s="2">
        <f t="shared" si="2"/>
        <v>300</v>
      </c>
      <c r="L26" s="2" t="str">
        <f t="shared" si="3"/>
        <v>-</v>
      </c>
    </row>
    <row r="27" spans="1:12" ht="12" customHeight="1" x14ac:dyDescent="0.15">
      <c r="A27" s="3" t="str">
        <f t="shared" si="4"/>
        <v/>
      </c>
      <c r="B27" s="1" t="str">
        <f t="shared" si="0"/>
        <v/>
      </c>
      <c r="C27" s="1" t="str">
        <f t="shared" si="1"/>
        <v>TVA due</v>
      </c>
      <c r="G27" s="12">
        <v>2200</v>
      </c>
      <c r="H27" s="12" t="str">
        <f t="shared" si="9"/>
        <v/>
      </c>
      <c r="I27" s="12">
        <f>5700*normal</f>
        <v>456</v>
      </c>
      <c r="J27" s="12">
        <f t="shared" si="11"/>
        <v>4</v>
      </c>
      <c r="K27" s="2" t="str">
        <f t="shared" si="2"/>
        <v>-</v>
      </c>
      <c r="L27" s="2">
        <f t="shared" si="3"/>
        <v>456</v>
      </c>
    </row>
    <row r="28" spans="1:12" ht="12" customHeight="1" x14ac:dyDescent="0.15">
      <c r="A28" s="3" t="str">
        <f t="shared" si="4"/>
        <v/>
      </c>
      <c r="B28" s="1" t="str">
        <f t="shared" si="0"/>
        <v>Acomptes de clients</v>
      </c>
      <c r="C28" s="1" t="str">
        <f t="shared" si="1"/>
        <v/>
      </c>
      <c r="F28" s="12">
        <v>2030</v>
      </c>
      <c r="H28" s="12">
        <f>I17</f>
        <v>900.00000000000011</v>
      </c>
      <c r="I28" s="12" t="str">
        <f t="shared" si="8"/>
        <v/>
      </c>
      <c r="J28" s="12">
        <f t="shared" si="11"/>
        <v>4</v>
      </c>
      <c r="K28" s="2">
        <f t="shared" si="2"/>
        <v>900</v>
      </c>
      <c r="L28" s="2" t="str">
        <f t="shared" si="3"/>
        <v>-</v>
      </c>
    </row>
    <row r="29" spans="1:12" ht="12" customHeight="1" x14ac:dyDescent="0.15">
      <c r="A29" s="3" t="str">
        <f t="shared" si="4"/>
        <v/>
      </c>
      <c r="B29" s="1" t="str">
        <f t="shared" si="0"/>
        <v>TVA due</v>
      </c>
      <c r="C29" s="1" t="str">
        <f t="shared" si="1"/>
        <v/>
      </c>
      <c r="F29" s="12">
        <v>2200</v>
      </c>
      <c r="H29" s="12">
        <f>I16</f>
        <v>72</v>
      </c>
      <c r="I29" s="12" t="str">
        <f t="shared" si="8"/>
        <v/>
      </c>
      <c r="J29" s="12">
        <f t="shared" si="11"/>
        <v>4</v>
      </c>
      <c r="K29" s="2">
        <f t="shared" si="2"/>
        <v>72</v>
      </c>
      <c r="L29" s="2" t="str">
        <f t="shared" si="3"/>
        <v>-</v>
      </c>
    </row>
    <row r="30" spans="1:12" ht="12" customHeight="1" x14ac:dyDescent="0.15">
      <c r="A30" s="3" t="str">
        <f t="shared" si="4"/>
        <v/>
      </c>
      <c r="B30" s="1" t="str">
        <f t="shared" si="0"/>
        <v>Débiteurs</v>
      </c>
      <c r="C30" s="1" t="str">
        <f t="shared" si="1"/>
        <v/>
      </c>
      <c r="F30" s="12">
        <v>1100</v>
      </c>
      <c r="H30" s="12">
        <f t="shared" ref="H30" si="12">IF(
IF(ISBLANK(J30),"",
IF(J30&lt;&gt;J31,
IF(J30&lt;&gt;J29,"",
IF(J30&lt;&gt;J28,IF(SUM(H29:H29)&gt;SUM(I29:I29),"",SUM(I29:I29)-SUM(H29:H29)),
IF(J30&lt;&gt;J27,IF(SUM(H28:H29)&gt;SUM(I28:I29),"",SUM(I28:I29)-SUM(H28:H29)),
IF(J30&lt;&gt;J26,IF(SUM(H27:H29)&gt;SUM(I27:I29),"",SUM(I27:I29)-SUM(H27:H29)),
IF(J30&lt;&gt;J25,IF(SUM(H26:H29)&gt;SUM(I26:I29),"",SUM(I26:I29)-SUM(H26:H29)),
IF(J30&lt;&gt;J24,IF(SUM(H25:H29)&gt;SUM(I25:I29),"",SUM(I25:I29)-SUM(H25:H29)),
"après 6ème ligne")))))),""))&gt;0,IF(ISBLANK(J30),"",
IF(J30&lt;&gt;J31,
IF(J30&lt;&gt;J29,"",
IF(J30&lt;&gt;J28,IF(SUM(H29:H29)&gt;SUM(I29:I29),"",SUM(I29:I29)-SUM(H29:H29)),
IF(J30&lt;&gt;J27,IF(SUM(H28:H29)&gt;SUM(I28:I29),"",SUM(I28:I29)-SUM(H28:H29)),
IF(J30&lt;&gt;J26,IF(SUM(H27:H29)&gt;SUM(I27:I29),"",SUM(I27:I29)-SUM(H27:H29)),
IF(J30&lt;&gt;J25,IF(SUM(H26:H29)&gt;SUM(I26:I29),"",SUM(I26:I29)-SUM(H26:H29)),
IF(J30&lt;&gt;J24,IF(SUM(H25:H29)&gt;SUM(I25:I29),"",SUM(I25:I29)-SUM(H25:H29)),
"après 6ème ligne")))))),"")),"")</f>
        <v>5184</v>
      </c>
      <c r="I30" s="12" t="str">
        <f t="shared" si="8"/>
        <v/>
      </c>
      <c r="J30" s="12">
        <f t="shared" si="11"/>
        <v>4</v>
      </c>
      <c r="K30" s="2">
        <f t="shared" si="2"/>
        <v>5184</v>
      </c>
      <c r="L30" s="2" t="str">
        <f t="shared" si="3"/>
        <v>-</v>
      </c>
    </row>
    <row r="31" spans="1:12" ht="12" customHeight="1" x14ac:dyDescent="0.15">
      <c r="A31" s="3">
        <f t="shared" si="4"/>
        <v>5</v>
      </c>
      <c r="B31" s="1" t="str">
        <f t="shared" si="0"/>
        <v>Dividendes</v>
      </c>
      <c r="C31" s="1" t="str">
        <f t="shared" si="1"/>
        <v>Caisse</v>
      </c>
      <c r="D31" s="11" t="s">
        <v>153</v>
      </c>
      <c r="E31" s="12">
        <v>5</v>
      </c>
      <c r="F31" s="12">
        <v>2261</v>
      </c>
      <c r="G31" s="12">
        <v>1000</v>
      </c>
      <c r="H31" s="12">
        <f>I20*3/4</f>
        <v>38025</v>
      </c>
      <c r="I31" s="12">
        <f>H31</f>
        <v>38025</v>
      </c>
      <c r="J31" s="12">
        <f t="shared" si="11"/>
        <v>5</v>
      </c>
      <c r="K31" s="2">
        <f t="shared" si="2"/>
        <v>38025</v>
      </c>
      <c r="L31" s="2">
        <f t="shared" si="3"/>
        <v>38025</v>
      </c>
    </row>
    <row r="32" spans="1:12" ht="12" customHeight="1" x14ac:dyDescent="0.15">
      <c r="A32" s="3">
        <f t="shared" si="4"/>
        <v>6</v>
      </c>
      <c r="B32" s="1" t="str">
        <f t="shared" si="0"/>
        <v>Débiteurs</v>
      </c>
      <c r="C32" s="1" t="str">
        <f t="shared" si="1"/>
        <v>Intérêts moratoires client</v>
      </c>
      <c r="E32" s="12">
        <v>6</v>
      </c>
      <c r="F32" s="12">
        <v>1100</v>
      </c>
      <c r="G32" s="12">
        <v>6960</v>
      </c>
      <c r="H32" s="12">
        <v>150</v>
      </c>
      <c r="I32" s="12">
        <v>150</v>
      </c>
      <c r="J32" s="12">
        <f t="shared" si="11"/>
        <v>6</v>
      </c>
      <c r="K32" s="2">
        <f t="shared" si="2"/>
        <v>150</v>
      </c>
      <c r="L32" s="2">
        <f t="shared" si="3"/>
        <v>150</v>
      </c>
    </row>
    <row r="33" spans="1:12" ht="12" customHeight="1" x14ac:dyDescent="0.15">
      <c r="A33" s="3">
        <f t="shared" si="4"/>
        <v>7</v>
      </c>
      <c r="B33" s="1" t="str">
        <f t="shared" si="0"/>
        <v>Débiteurs</v>
      </c>
      <c r="C33" s="1" t="str">
        <f t="shared" si="1"/>
        <v>Poste</v>
      </c>
      <c r="E33" s="12">
        <v>7</v>
      </c>
      <c r="F33" s="12">
        <v>1100</v>
      </c>
      <c r="G33" s="12">
        <v>1010</v>
      </c>
      <c r="H33" s="12">
        <v>300</v>
      </c>
      <c r="I33" s="12">
        <v>300</v>
      </c>
      <c r="J33" s="12">
        <f t="shared" si="11"/>
        <v>7</v>
      </c>
      <c r="K33" s="2">
        <f t="shared" si="2"/>
        <v>300</v>
      </c>
      <c r="L33" s="2">
        <f t="shared" si="3"/>
        <v>300</v>
      </c>
    </row>
    <row r="34" spans="1:12" ht="12" customHeight="1" x14ac:dyDescent="0.15">
      <c r="A34" s="3">
        <f t="shared" si="4"/>
        <v>8</v>
      </c>
      <c r="B34" s="1" t="str">
        <f t="shared" si="0"/>
        <v>Poste</v>
      </c>
      <c r="C34" s="1" t="str">
        <f t="shared" si="1"/>
        <v/>
      </c>
      <c r="D34" s="11" t="s">
        <v>155</v>
      </c>
      <c r="E34" s="12">
        <v>8</v>
      </c>
      <c r="F34" s="12">
        <v>1010</v>
      </c>
      <c r="H34" s="12">
        <v>1000</v>
      </c>
      <c r="I34" s="12" t="str">
        <f t="shared" si="8"/>
        <v/>
      </c>
      <c r="J34" s="12">
        <f t="shared" si="11"/>
        <v>8</v>
      </c>
      <c r="K34" s="2">
        <f t="shared" si="2"/>
        <v>1000</v>
      </c>
      <c r="L34" s="2" t="str">
        <f t="shared" si="3"/>
        <v>-</v>
      </c>
    </row>
    <row r="35" spans="1:12" ht="12" customHeight="1" x14ac:dyDescent="0.15">
      <c r="A35" s="3" t="str">
        <f t="shared" si="4"/>
        <v/>
      </c>
      <c r="B35" s="1" t="str">
        <f t="shared" si="0"/>
        <v/>
      </c>
      <c r="C35" s="1" t="str">
        <f t="shared" si="1"/>
        <v>Débiteurs</v>
      </c>
      <c r="D35" s="11" t="s">
        <v>156</v>
      </c>
      <c r="G35" s="12">
        <v>1100</v>
      </c>
      <c r="H35" s="12" t="str">
        <f t="shared" si="9"/>
        <v/>
      </c>
      <c r="I35" s="12">
        <f>H30+H32+H33</f>
        <v>5634</v>
      </c>
      <c r="J35" s="12">
        <f t="shared" si="11"/>
        <v>8</v>
      </c>
      <c r="K35" s="2" t="str">
        <f t="shared" si="2"/>
        <v>-</v>
      </c>
      <c r="L35" s="2">
        <f t="shared" si="3"/>
        <v>5634</v>
      </c>
    </row>
    <row r="36" spans="1:12" ht="12" customHeight="1" x14ac:dyDescent="0.15">
      <c r="A36" s="3" t="str">
        <f t="shared" si="4"/>
        <v/>
      </c>
      <c r="B36" s="1" t="str">
        <f t="shared" si="0"/>
        <v>TVA due</v>
      </c>
      <c r="C36" s="1" t="str">
        <f t="shared" si="1"/>
        <v/>
      </c>
      <c r="D36" s="11" t="s">
        <v>157</v>
      </c>
      <c r="F36" s="12">
        <v>2200</v>
      </c>
      <c r="H36" s="12">
        <f>(H30-1000)/(1+normal)*normal</f>
        <v>309.92592592592592</v>
      </c>
      <c r="I36" s="12" t="str">
        <f t="shared" si="8"/>
        <v/>
      </c>
      <c r="J36" s="12">
        <f t="shared" si="11"/>
        <v>8</v>
      </c>
      <c r="K36" s="2">
        <f t="shared" si="2"/>
        <v>309.95000000000005</v>
      </c>
      <c r="L36" s="2" t="str">
        <f t="shared" si="3"/>
        <v>-</v>
      </c>
    </row>
    <row r="37" spans="1:12" ht="12" customHeight="1" x14ac:dyDescent="0.15">
      <c r="A37" s="3" t="str">
        <f t="shared" si="4"/>
        <v/>
      </c>
      <c r="B37" s="1" t="str">
        <f t="shared" si="0"/>
        <v>Pertes sur clients</v>
      </c>
      <c r="C37" s="1" t="str">
        <f t="shared" si="1"/>
        <v/>
      </c>
      <c r="D37" s="11" t="s">
        <v>158</v>
      </c>
      <c r="F37" s="12">
        <v>3805</v>
      </c>
      <c r="H37" s="12">
        <f t="shared" si="9"/>
        <v>4324.0740740740739</v>
      </c>
      <c r="I37" s="12" t="str">
        <f t="shared" si="8"/>
        <v/>
      </c>
      <c r="J37" s="12">
        <f t="shared" si="11"/>
        <v>8</v>
      </c>
      <c r="K37" s="2">
        <f t="shared" si="2"/>
        <v>4324.05</v>
      </c>
      <c r="L37" s="2" t="str">
        <f t="shared" si="3"/>
        <v>-</v>
      </c>
    </row>
    <row r="38" spans="1:12" ht="12" customHeight="1" x14ac:dyDescent="0.15">
      <c r="A38" s="3">
        <f t="shared" si="4"/>
        <v>9</v>
      </c>
      <c r="B38" s="1" t="str">
        <f t="shared" si="0"/>
        <v>Coti LAA</v>
      </c>
      <c r="C38" s="1" t="str">
        <f t="shared" si="1"/>
        <v>Banque</v>
      </c>
      <c r="E38" s="12">
        <v>9</v>
      </c>
      <c r="F38" s="12">
        <v>5274</v>
      </c>
      <c r="G38" s="12">
        <v>1020</v>
      </c>
      <c r="H38" s="12">
        <v>5000</v>
      </c>
      <c r="I38" s="12">
        <v>5000</v>
      </c>
      <c r="J38" s="12">
        <f t="shared" si="11"/>
        <v>9</v>
      </c>
      <c r="K38" s="2">
        <f t="shared" si="2"/>
        <v>5000</v>
      </c>
      <c r="L38" s="2">
        <f t="shared" si="3"/>
        <v>5000</v>
      </c>
    </row>
    <row r="39" spans="1:12" ht="12" customHeight="1" x14ac:dyDescent="0.15">
      <c r="A39" s="3" t="str">
        <f t="shared" si="4"/>
        <v/>
      </c>
      <c r="B39" s="1" t="str">
        <f t="shared" si="0"/>
        <v>Coti apgm</v>
      </c>
      <c r="C39" s="1" t="str">
        <f t="shared" si="1"/>
        <v>Banque</v>
      </c>
      <c r="F39" s="12">
        <v>5275</v>
      </c>
      <c r="G39" s="12">
        <v>1020</v>
      </c>
      <c r="H39" s="12">
        <v>1000</v>
      </c>
      <c r="I39" s="12">
        <v>1000</v>
      </c>
      <c r="J39" s="12">
        <f t="shared" si="11"/>
        <v>9</v>
      </c>
      <c r="K39" s="2">
        <f t="shared" si="2"/>
        <v>1000</v>
      </c>
      <c r="L39" s="2">
        <f t="shared" si="3"/>
        <v>1000</v>
      </c>
    </row>
    <row r="40" spans="1:12" ht="12" customHeight="1" x14ac:dyDescent="0.15">
      <c r="A40" s="3">
        <f t="shared" si="4"/>
        <v>10</v>
      </c>
      <c r="B40" s="1" t="str">
        <f t="shared" si="0"/>
        <v>Salaire</v>
      </c>
      <c r="C40" s="1" t="str">
        <f t="shared" si="1"/>
        <v/>
      </c>
      <c r="D40" s="11" t="s">
        <v>162</v>
      </c>
      <c r="E40" s="12">
        <v>10</v>
      </c>
      <c r="F40" s="12">
        <v>5200</v>
      </c>
      <c r="H40" s="12">
        <v>6500</v>
      </c>
      <c r="I40" s="12" t="str">
        <f t="shared" si="8"/>
        <v/>
      </c>
      <c r="J40" s="12">
        <f t="shared" si="11"/>
        <v>10</v>
      </c>
      <c r="K40" s="2">
        <f t="shared" si="2"/>
        <v>6500</v>
      </c>
      <c r="L40" s="2" t="str">
        <f t="shared" si="3"/>
        <v>-</v>
      </c>
    </row>
    <row r="41" spans="1:12" ht="12" customHeight="1" x14ac:dyDescent="0.15">
      <c r="A41" s="3" t="str">
        <f t="shared" si="4"/>
        <v/>
      </c>
      <c r="B41" s="1" t="str">
        <f t="shared" si="0"/>
        <v>Ch. de véhicules et de transp.</v>
      </c>
      <c r="C41" s="1" t="str">
        <f t="shared" si="1"/>
        <v/>
      </c>
      <c r="D41" s="11" t="s">
        <v>163</v>
      </c>
      <c r="F41" s="12">
        <v>6200</v>
      </c>
      <c r="H41" s="12">
        <f>230*0.9</f>
        <v>207</v>
      </c>
      <c r="I41" s="12" t="str">
        <f t="shared" si="8"/>
        <v/>
      </c>
      <c r="J41" s="12">
        <f t="shared" si="11"/>
        <v>10</v>
      </c>
      <c r="K41" s="2">
        <f t="shared" si="2"/>
        <v>207</v>
      </c>
      <c r="L41" s="2" t="str">
        <f t="shared" si="3"/>
        <v>-</v>
      </c>
    </row>
    <row r="42" spans="1:12" ht="12" customHeight="1" x14ac:dyDescent="0.15">
      <c r="A42" s="3" t="str">
        <f t="shared" si="4"/>
        <v/>
      </c>
      <c r="C42" s="1" t="s">
        <v>164</v>
      </c>
      <c r="D42" s="11" t="s">
        <v>165</v>
      </c>
      <c r="H42" s="12" t="str">
        <f t="shared" si="9"/>
        <v/>
      </c>
      <c r="I42" s="12">
        <v>0</v>
      </c>
      <c r="J42" s="12">
        <f t="shared" si="11"/>
        <v>10</v>
      </c>
    </row>
    <row r="43" spans="1:12" ht="12" customHeight="1" x14ac:dyDescent="0.15">
      <c r="A43" s="3" t="str">
        <f t="shared" si="4"/>
        <v/>
      </c>
      <c r="B43" s="1" t="str">
        <f t="shared" si="0"/>
        <v/>
      </c>
      <c r="C43" s="1" t="str">
        <f t="shared" si="1"/>
        <v>Dette caisse AVS</v>
      </c>
      <c r="D43" s="11" t="s">
        <v>166</v>
      </c>
      <c r="G43" s="12">
        <v>2270</v>
      </c>
      <c r="H43" s="12" t="str">
        <f t="shared" si="9"/>
        <v/>
      </c>
      <c r="I43" s="12">
        <f>6740*(5.125%+1.1%+0.21%)</f>
        <v>433.71900000000005</v>
      </c>
      <c r="J43" s="12">
        <f t="shared" si="11"/>
        <v>10</v>
      </c>
      <c r="K43" s="2" t="str">
        <f t="shared" si="2"/>
        <v>-</v>
      </c>
      <c r="L43" s="2">
        <f t="shared" si="3"/>
        <v>433.70000000000005</v>
      </c>
    </row>
    <row r="44" spans="1:12" ht="12" customHeight="1" x14ac:dyDescent="0.15">
      <c r="A44" s="3" t="str">
        <f t="shared" si="4"/>
        <v/>
      </c>
      <c r="B44" s="1" t="str">
        <f t="shared" si="0"/>
        <v/>
      </c>
      <c r="C44" s="1" t="str">
        <f t="shared" si="1"/>
        <v>Dette caisse LPP</v>
      </c>
      <c r="D44" s="11" t="s">
        <v>175</v>
      </c>
      <c r="G44" s="12">
        <v>2271</v>
      </c>
      <c r="H44" s="12" t="str">
        <f t="shared" si="9"/>
        <v/>
      </c>
      <c r="I44" s="12">
        <f>((6740*13/12)-(30000/12))*0.06</f>
        <v>288.10000000000002</v>
      </c>
      <c r="J44" s="12">
        <f t="shared" si="11"/>
        <v>10</v>
      </c>
      <c r="K44" s="2" t="str">
        <f t="shared" si="2"/>
        <v>-</v>
      </c>
      <c r="L44" s="2">
        <f t="shared" si="3"/>
        <v>288.10000000000002</v>
      </c>
    </row>
    <row r="45" spans="1:12" ht="12" customHeight="1" x14ac:dyDescent="0.15">
      <c r="A45" s="3" t="str">
        <f t="shared" si="4"/>
        <v/>
      </c>
      <c r="B45" s="1" t="str">
        <f t="shared" si="0"/>
        <v/>
      </c>
      <c r="C45" s="1" t="str">
        <f t="shared" si="1"/>
        <v>Coti LAA</v>
      </c>
      <c r="D45" s="11" t="s">
        <v>167</v>
      </c>
      <c r="G45" s="12">
        <v>5274</v>
      </c>
      <c r="H45" s="12" t="str">
        <f t="shared" si="9"/>
        <v/>
      </c>
      <c r="I45" s="12">
        <f>6740*2.4/100</f>
        <v>161.76</v>
      </c>
      <c r="J45" s="12">
        <f t="shared" si="11"/>
        <v>10</v>
      </c>
      <c r="K45" s="2" t="str">
        <f t="shared" si="2"/>
        <v>-</v>
      </c>
      <c r="L45" s="2">
        <f t="shared" si="3"/>
        <v>161.75</v>
      </c>
    </row>
    <row r="46" spans="1:12" ht="12" customHeight="1" x14ac:dyDescent="0.15">
      <c r="A46" s="3" t="str">
        <f t="shared" si="4"/>
        <v/>
      </c>
      <c r="B46" s="1" t="str">
        <f t="shared" si="0"/>
        <v/>
      </c>
      <c r="C46" s="1" t="str">
        <f t="shared" si="1"/>
        <v>Coti apgm</v>
      </c>
      <c r="D46" s="11" t="s">
        <v>170</v>
      </c>
      <c r="G46" s="12">
        <v>5275</v>
      </c>
      <c r="H46" s="12" t="str">
        <f t="shared" si="9"/>
        <v/>
      </c>
      <c r="I46" s="12">
        <f>6740*2.3/100/2</f>
        <v>77.509999999999991</v>
      </c>
      <c r="J46" s="12">
        <f t="shared" si="11"/>
        <v>10</v>
      </c>
      <c r="K46" s="2" t="str">
        <f t="shared" si="2"/>
        <v>-</v>
      </c>
      <c r="L46" s="2">
        <f t="shared" si="3"/>
        <v>77.5</v>
      </c>
    </row>
    <row r="47" spans="1:12" ht="12" customHeight="1" x14ac:dyDescent="0.15">
      <c r="A47" s="3" t="str">
        <f t="shared" si="4"/>
        <v/>
      </c>
      <c r="B47" s="1" t="str">
        <f t="shared" si="0"/>
        <v/>
      </c>
      <c r="C47" s="1" t="str">
        <f t="shared" si="1"/>
        <v>Salaires à payer</v>
      </c>
      <c r="G47" s="12">
        <v>2250</v>
      </c>
      <c r="I47" s="12">
        <f>SUM(H40:H41)-SUM(I43:I46)</f>
        <v>5745.9110000000001</v>
      </c>
      <c r="J47" s="12">
        <f t="shared" si="11"/>
        <v>10</v>
      </c>
      <c r="K47" s="2" t="str">
        <f t="shared" si="2"/>
        <v>-</v>
      </c>
      <c r="L47" s="2">
        <f t="shared" si="3"/>
        <v>5745.9000000000005</v>
      </c>
    </row>
    <row r="48" spans="1:12" ht="12" customHeight="1" x14ac:dyDescent="0.15">
      <c r="A48" s="3">
        <f t="shared" ref="A48:A51" si="13">IF(E48="","",E48)</f>
        <v>10.1</v>
      </c>
      <c r="B48" s="1" t="str">
        <f t="shared" ref="B48:B51" si="14">IF(F48="","",VLOOKUP(F48,plancomptable,2,FALSE))</f>
        <v>Coti. Et frais AVS/AC/Amat</v>
      </c>
      <c r="C48" s="1" t="str">
        <f t="shared" ref="C48:C51" si="15">IF(G48="","",VLOOKUP(G48,plancomptable,2,FALSE))</f>
        <v>Dette caisse AVS</v>
      </c>
      <c r="D48" s="11" t="s">
        <v>181</v>
      </c>
      <c r="E48" s="12">
        <v>10.1</v>
      </c>
      <c r="F48" s="12">
        <v>5271</v>
      </c>
      <c r="G48" s="12">
        <v>2270</v>
      </c>
      <c r="H48" s="12">
        <f>(6740*10.25/100*1/100)+I43</f>
        <v>440.62750000000005</v>
      </c>
      <c r="I48" s="12">
        <f>H48</f>
        <v>440.62750000000005</v>
      </c>
      <c r="J48" s="12">
        <f t="shared" si="11"/>
        <v>10.1</v>
      </c>
      <c r="K48" s="2">
        <f t="shared" ref="K48:K52" si="16">IF(B48="","-",IF(ISNUMBER(H48),MROUND(H48,0.05),"calcul"))</f>
        <v>440.65000000000003</v>
      </c>
      <c r="L48" s="2">
        <f t="shared" ref="L48:L52" si="17">IF(C48="","-",IF(ISNUMBER(I48),MROUND(I48,0.05),"calcul"))</f>
        <v>440.65000000000003</v>
      </c>
    </row>
    <row r="49" spans="1:12" ht="12" customHeight="1" x14ac:dyDescent="0.15">
      <c r="A49" s="3" t="str">
        <f t="shared" si="13"/>
        <v/>
      </c>
      <c r="B49" s="1" t="str">
        <f t="shared" si="14"/>
        <v>Coti. LPP</v>
      </c>
      <c r="C49" s="1" t="str">
        <f t="shared" si="15"/>
        <v>Dette caisse LPP</v>
      </c>
      <c r="F49" s="12">
        <v>5273</v>
      </c>
      <c r="G49" s="12">
        <v>2271</v>
      </c>
      <c r="H49" s="12">
        <f>I44</f>
        <v>288.10000000000002</v>
      </c>
      <c r="I49" s="12">
        <f>H49</f>
        <v>288.10000000000002</v>
      </c>
      <c r="J49" s="12">
        <f t="shared" si="11"/>
        <v>10.1</v>
      </c>
      <c r="K49" s="2">
        <f t="shared" si="16"/>
        <v>288.10000000000002</v>
      </c>
      <c r="L49" s="2">
        <f t="shared" si="17"/>
        <v>288.10000000000002</v>
      </c>
    </row>
    <row r="50" spans="1:12" ht="12" customHeight="1" x14ac:dyDescent="0.15">
      <c r="A50" s="3" t="str">
        <f t="shared" si="13"/>
        <v/>
      </c>
      <c r="B50" s="1" t="str">
        <f t="shared" si="14"/>
        <v>Coti. ALFA</v>
      </c>
      <c r="C50" s="1" t="str">
        <f t="shared" si="15"/>
        <v>Dette caisse ALFA</v>
      </c>
      <c r="D50" s="11" t="s">
        <v>182</v>
      </c>
      <c r="F50" s="12">
        <v>5272</v>
      </c>
      <c r="G50" s="12">
        <v>2272</v>
      </c>
      <c r="H50" s="12">
        <f>6740*0.02</f>
        <v>134.80000000000001</v>
      </c>
      <c r="I50" s="12">
        <f>H50</f>
        <v>134.80000000000001</v>
      </c>
      <c r="J50" s="12">
        <f t="shared" si="11"/>
        <v>10.1</v>
      </c>
      <c r="K50" s="2">
        <f t="shared" si="16"/>
        <v>134.80000000000001</v>
      </c>
      <c r="L50" s="2">
        <f t="shared" si="17"/>
        <v>134.80000000000001</v>
      </c>
    </row>
    <row r="51" spans="1:12" ht="12" customHeight="1" x14ac:dyDescent="0.15">
      <c r="A51" s="3">
        <f t="shared" si="13"/>
        <v>11</v>
      </c>
      <c r="B51" s="1" t="str">
        <f t="shared" si="14"/>
        <v>Dette caisse AVS</v>
      </c>
      <c r="C51" s="1" t="str">
        <f t="shared" si="15"/>
        <v>Banque</v>
      </c>
      <c r="E51" s="12">
        <v>11</v>
      </c>
      <c r="F51" s="12">
        <v>2270</v>
      </c>
      <c r="G51" s="12">
        <v>1020</v>
      </c>
      <c r="H51" s="12">
        <f>340000*10.25/100*1.01</f>
        <v>35198.5</v>
      </c>
      <c r="I51" s="12">
        <f>340000*10.25/100*1.01</f>
        <v>35198.5</v>
      </c>
      <c r="J51" s="12">
        <f t="shared" si="11"/>
        <v>11</v>
      </c>
      <c r="K51" s="2">
        <f t="shared" si="16"/>
        <v>35198.5</v>
      </c>
      <c r="L51" s="2">
        <f t="shared" si="17"/>
        <v>35198.5</v>
      </c>
    </row>
    <row r="52" spans="1:12" ht="12" customHeight="1" x14ac:dyDescent="0.15">
      <c r="A52" s="3">
        <f t="shared" si="4"/>
        <v>12</v>
      </c>
      <c r="B52" s="1" t="str">
        <f t="shared" si="0"/>
        <v>Coti. Et frais AVS/AC/Amat</v>
      </c>
      <c r="C52" s="1" t="str">
        <f t="shared" si="1"/>
        <v/>
      </c>
      <c r="E52" s="12">
        <v>12</v>
      </c>
      <c r="F52" s="12">
        <v>5271</v>
      </c>
      <c r="H52" s="12">
        <v>5000</v>
      </c>
      <c r="I52" s="12" t="str">
        <f>IF(
IF(ISBLANK(J52),"",
IF(J52&lt;&gt;J53,
IF(J52&lt;&gt;J51,"",
IF(J52&lt;&gt;J47,IF(SUM(H51:H51)&lt;SUM(I51:I51),"",SUM(H51:H51)-SUM(I51:I51)),
IF(J52&lt;&gt;J46,IF(SUM(H47:H51)&lt;SUM(I47:I51),"",SUM(H47:H51)-SUM(I47:I51)),
IF(J52&lt;&gt;J45,IF(SUM(H46:H51)&lt;SUM(I46:I51),"",SUM(H46:H51)-SUM(I46:I51)),
IF(J52&lt;&gt;J44,IF(SUM(H45:H51)&lt;SUM(I45:I51),"",SUM(H45:H51)-SUM(I45:I51)),
IF(J52&lt;&gt;J43,IF(SUM(H44:H51)&lt;SUM(I44:I51),"",SUM(H44:H51)-SUM(I44:I51)),
"après 6ème ligne")))))),""))&gt;0,IF(ISBLANK(J52),"",
IF(J52&lt;&gt;J53,
IF(J52&lt;&gt;J51,"",
IF(J52&lt;&gt;J47,IF(SUM(H51:H51)&lt;SUM(I51:I51),"",SUM(H51:H51)-SUM(I51:I51)),
IF(J52&lt;&gt;J46,IF(SUM(H47:H51)&lt;SUM(I47:I51),"",SUM(H47:H51)-SUM(I47:I51)),
IF(J52&lt;&gt;J45,IF(SUM(H46:H51)&lt;SUM(I46:I51),"",SUM(H46:H51)-SUM(I46:I51)),
IF(J52&lt;&gt;J44,IF(SUM(H45:H51)&lt;SUM(I45:I51),"",SUM(H45:H51)-SUM(I45:I51)),
IF(J52&lt;&gt;J43,IF(SUM(H44:H51)&lt;SUM(I44:I51),"",SUM(H44:H51)-SUM(I44:I51)),
"après 6ème ligne")))))),"")),"")</f>
        <v/>
      </c>
      <c r="J52" s="12">
        <f t="shared" si="11"/>
        <v>12</v>
      </c>
      <c r="K52" s="2">
        <f t="shared" si="16"/>
        <v>5000</v>
      </c>
      <c r="L52" s="2" t="str">
        <f t="shared" si="17"/>
        <v>-</v>
      </c>
    </row>
    <row r="53" spans="1:12" ht="12" customHeight="1" x14ac:dyDescent="0.15">
      <c r="A53" s="3" t="str">
        <f t="shared" si="4"/>
        <v/>
      </c>
      <c r="B53" s="1" t="str">
        <f t="shared" si="0"/>
        <v>Coti. LPP</v>
      </c>
      <c r="C53" s="1" t="str">
        <f t="shared" si="1"/>
        <v/>
      </c>
      <c r="F53" s="12">
        <v>5273</v>
      </c>
      <c r="H53" s="12">
        <v>6000</v>
      </c>
      <c r="I53" s="12" t="str">
        <f>IF(
IF(ISBLANK(J53),"",
IF(J53&lt;&gt;J54,
IF(J53&lt;&gt;J52,"",
IF(J53&lt;&gt;J51,IF(SUM(H52:H52)&lt;SUM(I52:I52),"",SUM(H52:H52)-SUM(I52:I52)),
IF(J53&lt;&gt;J47,IF(SUM(H51:H52)&lt;SUM(I51:I52),"",SUM(H51:H52)-SUM(I51:I52)),
IF(J53&lt;&gt;J46,IF(SUM(H47:H52)&lt;SUM(I47:I52),"",SUM(H47:H52)-SUM(I47:I52)),
IF(J53&lt;&gt;J45,IF(SUM(H46:H52)&lt;SUM(I46:I52),"",SUM(H46:H52)-SUM(I46:I52)),
IF(J53&lt;&gt;J44,IF(SUM(H45:H52)&lt;SUM(I45:I52),"",SUM(H45:H52)-SUM(I45:I52)),
"après 6ème ligne")))))),""))&gt;0,IF(ISBLANK(J53),"",
IF(J53&lt;&gt;J54,
IF(J53&lt;&gt;J52,"",
IF(J53&lt;&gt;J51,IF(SUM(H52:H52)&lt;SUM(I52:I52),"",SUM(H52:H52)-SUM(I52:I52)),
IF(J53&lt;&gt;J47,IF(SUM(H51:H52)&lt;SUM(I51:I52),"",SUM(H51:H52)-SUM(I51:I52)),
IF(J53&lt;&gt;J46,IF(SUM(H47:H52)&lt;SUM(I47:I52),"",SUM(H47:H52)-SUM(I47:I52)),
IF(J53&lt;&gt;J45,IF(SUM(H46:H52)&lt;SUM(I46:I52),"",SUM(H46:H52)-SUM(I46:I52)),
IF(J53&lt;&gt;J44,IF(SUM(H45:H52)&lt;SUM(I45:I52),"",SUM(H45:H52)-SUM(I45:I52)),
"après 6ème ligne")))))),"")),"")</f>
        <v/>
      </c>
      <c r="J53" s="12">
        <f t="shared" si="11"/>
        <v>12</v>
      </c>
      <c r="K53" s="2">
        <f t="shared" si="2"/>
        <v>6000</v>
      </c>
      <c r="L53" s="2" t="str">
        <f t="shared" si="3"/>
        <v>-</v>
      </c>
    </row>
    <row r="54" spans="1:12" ht="12" customHeight="1" x14ac:dyDescent="0.15">
      <c r="A54" s="3" t="str">
        <f t="shared" si="4"/>
        <v/>
      </c>
      <c r="B54" s="1" t="str">
        <f t="shared" si="0"/>
        <v/>
      </c>
      <c r="C54" s="1" t="str">
        <f t="shared" si="1"/>
        <v>Banque</v>
      </c>
      <c r="G54" s="12">
        <v>1020</v>
      </c>
      <c r="H54" s="12" t="str">
        <f>IF(
IF(ISBLANK(J54),"",
IF(J54&lt;&gt;J55,
IF(J54&lt;&gt;J53,"",
IF(J54&lt;&gt;J52,IF(SUM(H53:H53)&gt;SUM(I53:I53),"",SUM(I53:I53)-SUM(H53:H53)),
IF(J54&lt;&gt;J51,IF(SUM(H52:H53)&gt;SUM(I52:I53),"",SUM(I52:I53)-SUM(H52:H53)),
IF(J54&lt;&gt;J47,IF(SUM(H51:H53)&gt;SUM(I51:I53),"",SUM(I51:I53)-SUM(H51:H53)),
IF(J54&lt;&gt;J46,IF(SUM(H47:H53)&gt;SUM(I47:I53),"",SUM(I47:I53)-SUM(H47:H53)),
IF(J54&lt;&gt;J45,IF(SUM(H46:H53)&gt;SUM(I46:I53),"",SUM(I46:I53)-SUM(H46:H53)),
"après 6ème ligne")))))),""))&gt;0,IF(ISBLANK(J54),"",
IF(J54&lt;&gt;J55,
IF(J54&lt;&gt;J53,"",
IF(J54&lt;&gt;J52,IF(SUM(H53:H53)&gt;SUM(I53:I53),"",SUM(I53:I53)-SUM(H53:H53)),
IF(J54&lt;&gt;J51,IF(SUM(H52:H53)&gt;SUM(I52:I53),"",SUM(I52:I53)-SUM(H52:H53)),
IF(J54&lt;&gt;J47,IF(SUM(H51:H53)&gt;SUM(I51:I53),"",SUM(I51:I53)-SUM(H51:H53)),
IF(J54&lt;&gt;J46,IF(SUM(H47:H53)&gt;SUM(I47:I53),"",SUM(I47:I53)-SUM(H47:H53)),
IF(J54&lt;&gt;J45,IF(SUM(H46:H53)&gt;SUM(I46:I53),"",SUM(I46:I53)-SUM(H46:H53)),
"après 6ème ligne")))))),"")),"")</f>
        <v/>
      </c>
      <c r="I54" s="12">
        <f>IF(
IF(ISBLANK(J54),"",
IF(J54&lt;&gt;J55,
IF(J54&lt;&gt;J53,"",
IF(J54&lt;&gt;J52,IF(SUM(H53:H53)&lt;SUM(I53:I53),"",SUM(H53:H53)-SUM(I53:I53)),
IF(J54&lt;&gt;J51,IF(SUM(H52:H53)&lt;SUM(I52:I53),"",SUM(H52:H53)-SUM(I52:I53)),
IF(J54&lt;&gt;J47,IF(SUM(H51:H53)&lt;SUM(I51:I53),"",SUM(H51:H53)-SUM(I51:I53)),
IF(J54&lt;&gt;J46,IF(SUM(H47:H53)&lt;SUM(I47:I53),"",SUM(H47:H53)-SUM(I47:I53)),
IF(J54&lt;&gt;J45,IF(SUM(H46:H53)&lt;SUM(I46:I53),"",SUM(H46:H53)-SUM(I46:I53)),
"après 6ème ligne")))))),""))&gt;0,IF(ISBLANK(J54),"",
IF(J54&lt;&gt;J55,
IF(J54&lt;&gt;J53,"",
IF(J54&lt;&gt;J52,IF(SUM(H53:H53)&lt;SUM(I53:I53),"",SUM(H53:H53)-SUM(I53:I53)),
IF(J54&lt;&gt;J51,IF(SUM(H52:H53)&lt;SUM(I52:I53),"",SUM(H52:H53)-SUM(I52:I53)),
IF(J54&lt;&gt;J47,IF(SUM(H51:H53)&lt;SUM(I51:I53),"",SUM(H51:H53)-SUM(I51:I53)),
IF(J54&lt;&gt;J46,IF(SUM(H47:H53)&lt;SUM(I47:I53),"",SUM(H47:H53)-SUM(I47:I53)),
IF(J54&lt;&gt;J45,IF(SUM(H46:H53)&lt;SUM(I46:I53),"",SUM(H46:H53)-SUM(I46:I53)),
"après 6ème ligne")))))),"")),"")</f>
        <v>11000</v>
      </c>
      <c r="J54" s="12">
        <f t="shared" si="11"/>
        <v>12</v>
      </c>
      <c r="K54" s="2" t="str">
        <f t="shared" si="2"/>
        <v>-</v>
      </c>
      <c r="L54" s="2">
        <f t="shared" si="3"/>
        <v>11000</v>
      </c>
    </row>
    <row r="55" spans="1:12" ht="12" customHeight="1" x14ac:dyDescent="0.15">
      <c r="A55" s="3">
        <f t="shared" si="4"/>
        <v>13</v>
      </c>
      <c r="B55" s="1" t="str">
        <f t="shared" si="0"/>
        <v>Avances de salaires</v>
      </c>
      <c r="C55" s="1" t="str">
        <f t="shared" si="1"/>
        <v>Banque</v>
      </c>
      <c r="D55" s="11" t="s">
        <v>169</v>
      </c>
      <c r="E55" s="12">
        <v>13</v>
      </c>
      <c r="F55" s="12">
        <v>1160</v>
      </c>
      <c r="G55" s="12">
        <v>1020</v>
      </c>
      <c r="H55" s="12">
        <v>1000</v>
      </c>
      <c r="I55" s="12">
        <v>1000</v>
      </c>
      <c r="J55" s="12">
        <f t="shared" si="11"/>
        <v>13</v>
      </c>
      <c r="K55" s="2">
        <f t="shared" si="2"/>
        <v>1000</v>
      </c>
      <c r="L55" s="2">
        <f t="shared" si="3"/>
        <v>1000</v>
      </c>
    </row>
    <row r="56" spans="1:12" ht="12" customHeight="1" x14ac:dyDescent="0.15">
      <c r="A56" s="3">
        <v>14</v>
      </c>
      <c r="B56" s="1" t="str">
        <f t="shared" si="0"/>
        <v>Salaire</v>
      </c>
      <c r="C56" s="1" t="str">
        <f t="shared" si="1"/>
        <v/>
      </c>
      <c r="D56" s="11" t="s">
        <v>172</v>
      </c>
      <c r="E56" s="12">
        <v>14</v>
      </c>
      <c r="F56" s="12">
        <v>5200</v>
      </c>
      <c r="H56" s="12">
        <v>6000</v>
      </c>
      <c r="I56" s="12" t="str">
        <f>IF(
IF(ISBLANK(J56),"",
IF(J56&lt;&gt;J57,
IF(J56&lt;&gt;J55,"",
IF(J56&lt;&gt;J54,IF(SUM(H55:H55)&lt;SUM(I55:I55),"",SUM(H55:H55)-SUM(I55:I55)),
IF(J56&lt;&gt;J53,IF(SUM(H54:H55)&lt;SUM(I54:I55),"",SUM(H54:H55)-SUM(I54:I55)),
IF(J56&lt;&gt;J52,IF(SUM(H53:H55)&lt;SUM(I53:I55),"",SUM(H53:H55)-SUM(I53:I55)),
IF(J56&lt;&gt;J51,IF(SUM(H52:H55)&lt;SUM(I52:I55),"",SUM(H52:H55)-SUM(I52:I55)),
IF(J56&lt;&gt;J47,IF(SUM(H51:H55)&lt;SUM(I51:I55),"",SUM(H51:H55)-SUM(I51:I55)),
"après 6ème ligne")))))),""))&gt;0,IF(ISBLANK(J56),"",
IF(J56&lt;&gt;J57,
IF(J56&lt;&gt;J55,"",
IF(J56&lt;&gt;J54,IF(SUM(H55:H55)&lt;SUM(I55:I55),"",SUM(H55:H55)-SUM(I55:I55)),
IF(J56&lt;&gt;J53,IF(SUM(H54:H55)&lt;SUM(I54:I55),"",SUM(H54:H55)-SUM(I54:I55)),
IF(J56&lt;&gt;J52,IF(SUM(H53:H55)&lt;SUM(I53:I55),"",SUM(H53:H55)-SUM(I53:I55)),
IF(J56&lt;&gt;J51,IF(SUM(H52:H55)&lt;SUM(I52:I55),"",SUM(H52:H55)-SUM(I52:I55)),
IF(J56&lt;&gt;J47,IF(SUM(H51:H55)&lt;SUM(I51:I55),"",SUM(H51:H55)-SUM(I51:I55)),
"après 6ème ligne")))))),"")),"")</f>
        <v/>
      </c>
      <c r="J56" s="12">
        <f t="shared" si="11"/>
        <v>14</v>
      </c>
      <c r="K56" s="2">
        <f t="shared" si="2"/>
        <v>6000</v>
      </c>
      <c r="L56" s="2" t="str">
        <f t="shared" si="3"/>
        <v>-</v>
      </c>
    </row>
    <row r="57" spans="1:12" ht="12" customHeight="1" x14ac:dyDescent="0.15">
      <c r="A57" s="3" t="str">
        <f t="shared" si="4"/>
        <v/>
      </c>
      <c r="B57" s="1" t="str">
        <f t="shared" si="0"/>
        <v>Ch. de véhicules et de transp.</v>
      </c>
      <c r="C57" s="1" t="str">
        <f t="shared" si="1"/>
        <v/>
      </c>
      <c r="D57" s="11" t="s">
        <v>174</v>
      </c>
      <c r="F57" s="12">
        <v>6200</v>
      </c>
      <c r="H57" s="12">
        <f>60*0.9</f>
        <v>54</v>
      </c>
      <c r="I57" s="12" t="str">
        <f t="shared" si="8"/>
        <v/>
      </c>
      <c r="J57" s="12">
        <f t="shared" si="11"/>
        <v>14</v>
      </c>
      <c r="K57" s="2">
        <f t="shared" si="2"/>
        <v>54</v>
      </c>
      <c r="L57" s="2" t="str">
        <f t="shared" si="3"/>
        <v>-</v>
      </c>
    </row>
    <row r="58" spans="1:12" ht="12" customHeight="1" x14ac:dyDescent="0.15">
      <c r="A58" s="3" t="str">
        <f t="shared" si="4"/>
        <v/>
      </c>
      <c r="B58" s="1" t="str">
        <f t="shared" si="0"/>
        <v/>
      </c>
      <c r="C58" s="1" t="str">
        <f t="shared" si="1"/>
        <v>Coti. Et frais AVS/AC/Amat</v>
      </c>
      <c r="D58" s="11" t="s">
        <v>173</v>
      </c>
      <c r="G58" s="12">
        <v>5271</v>
      </c>
      <c r="H58" s="12" t="str">
        <f t="shared" si="9"/>
        <v/>
      </c>
      <c r="I58" s="12">
        <f>(6000+(18*12))*5.125%</f>
        <v>318.57</v>
      </c>
      <c r="J58" s="12">
        <f>IF(ISTEXT(E58),"",IF(ISNUMBER(E58),E58,IF(ISNUMBER(E57),E57,IF(ISNUMBER(E56),E56,IF(ISNUMBER(E55),E55,IF(ISNUMBER(E54),E54,IF(ISNUMBER(E53),E53,IF(ISNUMBER(E52),E52,IF(ISNUMBER(E51),E51,IF(ISNUMBER(E47),E47,IF(ISNUMBER(E46),E46,IF(ISNUMBER(E45),E45,""))))))))))))</f>
        <v>14</v>
      </c>
      <c r="K58" s="2" t="str">
        <f t="shared" si="2"/>
        <v>-</v>
      </c>
      <c r="L58" s="2">
        <f t="shared" si="3"/>
        <v>318.55</v>
      </c>
    </row>
    <row r="59" spans="1:12" ht="12" customHeight="1" x14ac:dyDescent="0.15">
      <c r="A59" s="3" t="str">
        <f t="shared" si="4"/>
        <v/>
      </c>
      <c r="B59" s="1" t="str">
        <f t="shared" si="0"/>
        <v/>
      </c>
      <c r="C59" s="1" t="str">
        <f t="shared" si="1"/>
        <v>Coti. LPP</v>
      </c>
      <c r="D59" s="11" t="s">
        <v>176</v>
      </c>
      <c r="G59" s="12">
        <v>5273</v>
      </c>
      <c r="H59" s="12" t="str">
        <f t="shared" si="9"/>
        <v/>
      </c>
      <c r="I59" s="12">
        <f>((4216*13/12)-(30000/12))*0.06</f>
        <v>124.03999999999998</v>
      </c>
      <c r="J59" s="12">
        <f>IF(ISTEXT(E59),"",IF(ISNUMBER(E59),E59,IF(ISNUMBER(E58),E58,IF(ISNUMBER(E57),E57,IF(ISNUMBER(E56),E56,IF(ISNUMBER(E55),E55,IF(ISNUMBER(E54),E54,IF(ISNUMBER(E53),E53,IF(ISNUMBER(E52),E52,IF(ISNUMBER(E51),E51,IF(ISNUMBER(E47),E47,IF(ISNUMBER(E46),E46,""))))))))))))</f>
        <v>14</v>
      </c>
      <c r="K59" s="2" t="str">
        <f t="shared" si="2"/>
        <v>-</v>
      </c>
      <c r="L59" s="2">
        <f t="shared" si="3"/>
        <v>124.05000000000001</v>
      </c>
    </row>
    <row r="60" spans="1:12" ht="12" customHeight="1" x14ac:dyDescent="0.15">
      <c r="A60" s="3" t="str">
        <f t="shared" si="4"/>
        <v/>
      </c>
      <c r="B60" s="1" t="str">
        <f t="shared" si="0"/>
        <v/>
      </c>
      <c r="C60" s="1" t="str">
        <f t="shared" si="1"/>
        <v>Coti LAA</v>
      </c>
      <c r="D60" s="11" t="s">
        <v>178</v>
      </c>
      <c r="G60" s="12">
        <v>5274</v>
      </c>
      <c r="H60" s="12" t="str">
        <f t="shared" si="9"/>
        <v/>
      </c>
      <c r="I60" s="12">
        <f>6216*2.4/100</f>
        <v>149.184</v>
      </c>
      <c r="J60" s="12">
        <f>IF(ISTEXT(E60),"",IF(ISNUMBER(E60),E60,IF(ISNUMBER(E59),E59,IF(ISNUMBER(E58),E58,IF(ISNUMBER(E57),E57,IF(ISNUMBER(E56),E56,IF(ISNUMBER(E55),E55,IF(ISNUMBER(E54),E54,IF(ISNUMBER(E53),E53,IF(ISNUMBER(E52),E52,IF(ISNUMBER(E51),E51,IF(ISNUMBER(E47),E47,""))))))))))))</f>
        <v>14</v>
      </c>
      <c r="K60" s="2" t="str">
        <f t="shared" si="2"/>
        <v>-</v>
      </c>
      <c r="L60" s="2">
        <f t="shared" si="3"/>
        <v>149.20000000000002</v>
      </c>
    </row>
    <row r="61" spans="1:12" ht="12" customHeight="1" x14ac:dyDescent="0.15">
      <c r="A61" s="3" t="str">
        <f t="shared" si="4"/>
        <v/>
      </c>
      <c r="B61" s="1" t="str">
        <f t="shared" si="0"/>
        <v/>
      </c>
      <c r="C61" s="1" t="str">
        <f t="shared" si="1"/>
        <v>Coti apgm</v>
      </c>
      <c r="D61" s="11" t="s">
        <v>179</v>
      </c>
      <c r="G61" s="12">
        <v>5275</v>
      </c>
      <c r="H61" s="12" t="str">
        <f t="shared" si="9"/>
        <v/>
      </c>
      <c r="I61" s="12">
        <f>6216*2.3/2/100</f>
        <v>71.483999999999995</v>
      </c>
      <c r="J61" s="12">
        <f t="shared" si="11"/>
        <v>14</v>
      </c>
      <c r="K61" s="2" t="str">
        <f t="shared" si="2"/>
        <v>-</v>
      </c>
      <c r="L61" s="2">
        <f t="shared" si="3"/>
        <v>71.5</v>
      </c>
    </row>
    <row r="62" spans="1:12" ht="12" customHeight="1" x14ac:dyDescent="0.15">
      <c r="A62" s="3" t="str">
        <f t="shared" si="4"/>
        <v/>
      </c>
      <c r="B62" s="1" t="str">
        <f t="shared" si="0"/>
        <v/>
      </c>
      <c r="C62" s="1" t="str">
        <f t="shared" si="1"/>
        <v>Banque</v>
      </c>
      <c r="D62" s="11" t="s">
        <v>177</v>
      </c>
      <c r="G62" s="12">
        <v>1020</v>
      </c>
      <c r="H62" s="12" t="str">
        <f t="shared" si="9"/>
        <v/>
      </c>
      <c r="I62" s="12">
        <v>900</v>
      </c>
      <c r="J62" s="12">
        <f t="shared" si="11"/>
        <v>14</v>
      </c>
      <c r="K62" s="2" t="str">
        <f t="shared" si="2"/>
        <v>-</v>
      </c>
      <c r="L62" s="2">
        <f t="shared" si="3"/>
        <v>900</v>
      </c>
    </row>
    <row r="63" spans="1:12" ht="12" customHeight="1" x14ac:dyDescent="0.15">
      <c r="A63" s="3" t="str">
        <f t="shared" si="4"/>
        <v/>
      </c>
      <c r="B63" s="1" t="str">
        <f t="shared" si="0"/>
        <v/>
      </c>
      <c r="C63" s="1" t="str">
        <f t="shared" si="1"/>
        <v>Avances de salaires</v>
      </c>
      <c r="G63" s="12">
        <v>1160</v>
      </c>
      <c r="H63" s="12" t="str">
        <f t="shared" si="9"/>
        <v/>
      </c>
      <c r="I63" s="12">
        <v>1000</v>
      </c>
      <c r="J63" s="12">
        <f t="shared" si="11"/>
        <v>14</v>
      </c>
      <c r="K63" s="2" t="str">
        <f t="shared" si="2"/>
        <v>-</v>
      </c>
      <c r="L63" s="2">
        <f t="shared" si="3"/>
        <v>1000</v>
      </c>
    </row>
    <row r="64" spans="1:12" ht="12" customHeight="1" x14ac:dyDescent="0.15">
      <c r="A64" s="3" t="str">
        <f t="shared" si="4"/>
        <v/>
      </c>
      <c r="B64" s="1" t="str">
        <f t="shared" si="0"/>
        <v/>
      </c>
      <c r="C64" s="1" t="str">
        <f t="shared" si="1"/>
        <v>Salaires à payer</v>
      </c>
      <c r="G64" s="12">
        <v>2250</v>
      </c>
      <c r="H64" s="12" t="e">
        <f>IF(
IF(ISBLANK(J64),"",
IF(J64&lt;&gt;#REF!,
IF(J64&lt;&gt;J63,"",
IF(J64&lt;&gt;J62,IF(SUM(H63:H63)&gt;SUM(I63:I63),"",SUM(I63:I63)-SUM(H63:H63)),
IF(J64&lt;&gt;J61,IF(SUM(H62:H63)&gt;SUM(I62:I63),"",SUM(I62:I63)-SUM(H62:H63)),
IF(J64&lt;&gt;J60,IF(SUM(H61:H63)&gt;SUM(I61:I63),"",SUM(I61:I63)-SUM(H61:H63)),
IF(J64&lt;&gt;J59,IF(SUM(H60:H63)&gt;SUM(I60:I63),"",SUM(I60:I63)-SUM(H60:H63)),
IF(J64&lt;&gt;J58,IF(SUM(H59:H63)&gt;SUM(I59:I63),"",SUM(I59:I63)-SUM(H59:H63)),
"après 6ème ligne")))))),""))&gt;0,IF(ISBLANK(J64),"",
IF(J64&lt;&gt;#REF!,
IF(J64&lt;&gt;J63,"",
IF(J64&lt;&gt;J62,IF(SUM(H63:H63)&gt;SUM(I63:I63),"",SUM(I63:I63)-SUM(H63:H63)),
IF(J64&lt;&gt;J61,IF(SUM(H62:H63)&gt;SUM(I62:I63),"",SUM(I62:I63)-SUM(H62:H63)),
IF(J64&lt;&gt;J60,IF(SUM(H61:H63)&gt;SUM(I61:I63),"",SUM(I61:I63)-SUM(H61:H63)),
IF(J64&lt;&gt;J59,IF(SUM(H60:H63)&gt;SUM(I60:I63),"",SUM(I60:I63)-SUM(H60:H63)),
IF(J64&lt;&gt;J58,IF(SUM(H59:H63)&gt;SUM(I59:I63),"",SUM(I59:I63)-SUM(H59:H63)),
"après 6ème ligne")))))),"")),"")</f>
        <v>#REF!</v>
      </c>
      <c r="I64" s="12">
        <f>SUM(H56:H57)-SUM(I58:I63)</f>
        <v>3490.7219999999998</v>
      </c>
      <c r="J64" s="12">
        <f t="shared" si="11"/>
        <v>14</v>
      </c>
      <c r="K64" s="2" t="str">
        <f t="shared" si="2"/>
        <v>-</v>
      </c>
      <c r="L64" s="2">
        <f t="shared" si="3"/>
        <v>3490.7000000000003</v>
      </c>
    </row>
    <row r="65" spans="1:12" s="8" customFormat="1" ht="12" customHeight="1" x14ac:dyDescent="0.15">
      <c r="D65" s="15"/>
      <c r="E65" s="16"/>
      <c r="F65" s="16"/>
      <c r="G65" s="16"/>
      <c r="H65" s="17" t="s">
        <v>7</v>
      </c>
      <c r="I65" s="18">
        <v>0.08</v>
      </c>
      <c r="J65" s="16"/>
      <c r="K65" s="9"/>
      <c r="L65" s="9"/>
    </row>
    <row r="66" spans="1:12" s="8" customFormat="1" ht="12" customHeight="1" x14ac:dyDescent="0.15">
      <c r="D66" s="15"/>
      <c r="E66" s="16"/>
      <c r="F66" s="16"/>
      <c r="G66" s="16"/>
      <c r="H66" s="17" t="s">
        <v>8</v>
      </c>
      <c r="I66" s="18">
        <v>3.7999999999999999E-2</v>
      </c>
      <c r="J66" s="16"/>
      <c r="K66" s="9"/>
      <c r="L66" s="9"/>
    </row>
    <row r="67" spans="1:12" s="8" customFormat="1" ht="12" customHeight="1" x14ac:dyDescent="0.15">
      <c r="D67" s="15"/>
      <c r="E67" s="16"/>
      <c r="F67" s="16"/>
      <c r="G67" s="16"/>
      <c r="H67" s="17" t="s">
        <v>9</v>
      </c>
      <c r="I67" s="18">
        <v>2.5000000000000001E-2</v>
      </c>
      <c r="J67" s="16"/>
      <c r="K67" s="9"/>
      <c r="L67" s="9"/>
    </row>
    <row r="68" spans="1:12" s="8" customFormat="1" ht="12" customHeight="1" x14ac:dyDescent="0.15">
      <c r="A68" s="7"/>
      <c r="D68" s="15"/>
      <c r="E68" s="16"/>
      <c r="F68" s="16"/>
      <c r="G68" s="16"/>
      <c r="H68" s="16"/>
      <c r="I68" s="16"/>
      <c r="J68" s="16"/>
      <c r="K68" s="9"/>
      <c r="L68" s="9"/>
    </row>
    <row r="69" spans="1:12" s="8" customFormat="1" ht="12" customHeight="1" x14ac:dyDescent="0.15">
      <c r="A69" s="7"/>
      <c r="D69" s="15"/>
      <c r="E69" s="12"/>
      <c r="F69" s="12"/>
      <c r="G69" s="12"/>
      <c r="H69" s="19" t="s">
        <v>10</v>
      </c>
      <c r="I69" s="12"/>
      <c r="J69" s="12"/>
      <c r="K69" s="9"/>
      <c r="L69" s="9"/>
    </row>
    <row r="70" spans="1:12" s="8" customFormat="1" ht="12" customHeight="1" x14ac:dyDescent="0.15">
      <c r="A70" s="7"/>
      <c r="D70" s="15"/>
      <c r="E70" s="12"/>
      <c r="F70" s="12"/>
      <c r="G70" s="12"/>
      <c r="H70" s="12">
        <v>1000</v>
      </c>
      <c r="I70" s="12" t="s">
        <v>5</v>
      </c>
      <c r="J70" s="12"/>
      <c r="K70" s="9"/>
      <c r="L70" s="9"/>
    </row>
    <row r="71" spans="1:12" s="8" customFormat="1" ht="12" customHeight="1" x14ac:dyDescent="0.15">
      <c r="A71" s="7"/>
      <c r="D71" s="15"/>
      <c r="E71" s="12"/>
      <c r="F71" s="12"/>
      <c r="G71" s="12"/>
      <c r="H71" s="12">
        <v>1010</v>
      </c>
      <c r="I71" s="12" t="s">
        <v>6</v>
      </c>
      <c r="J71" s="12"/>
      <c r="K71" s="9"/>
      <c r="L71" s="9"/>
    </row>
    <row r="72" spans="1:12" s="8" customFormat="1" ht="12" customHeight="1" x14ac:dyDescent="0.15">
      <c r="A72" s="7"/>
      <c r="D72" s="15"/>
      <c r="E72" s="12"/>
      <c r="F72" s="12"/>
      <c r="G72" s="12"/>
      <c r="H72" s="12">
        <v>1020</v>
      </c>
      <c r="I72" s="12" t="s">
        <v>4</v>
      </c>
      <c r="J72" s="12"/>
      <c r="K72" s="9"/>
      <c r="L72" s="9"/>
    </row>
    <row r="73" spans="1:12" s="8" customFormat="1" ht="12" customHeight="1" x14ac:dyDescent="0.15">
      <c r="A73" s="7"/>
      <c r="D73" s="15"/>
      <c r="E73" s="12"/>
      <c r="F73" s="12"/>
      <c r="G73" s="12"/>
      <c r="H73" s="12">
        <v>1100</v>
      </c>
      <c r="I73" s="12" t="s">
        <v>116</v>
      </c>
      <c r="J73" s="12"/>
      <c r="K73" s="9"/>
      <c r="L73" s="9"/>
    </row>
    <row r="74" spans="1:12" s="5" customFormat="1" ht="12" customHeight="1" x14ac:dyDescent="0.15">
      <c r="A74" s="4"/>
      <c r="D74" s="20"/>
      <c r="E74" s="12"/>
      <c r="F74" s="12"/>
      <c r="G74" s="12"/>
      <c r="H74" s="12">
        <v>1108</v>
      </c>
      <c r="I74" s="12" t="s">
        <v>117</v>
      </c>
      <c r="J74" s="12"/>
      <c r="K74" s="10"/>
      <c r="L74" s="6"/>
    </row>
    <row r="75" spans="1:12" ht="12" customHeight="1" x14ac:dyDescent="0.15">
      <c r="H75" s="12">
        <v>1109</v>
      </c>
      <c r="I75" s="12" t="s">
        <v>11</v>
      </c>
    </row>
    <row r="76" spans="1:12" ht="12" customHeight="1" x14ac:dyDescent="0.15">
      <c r="H76" s="12">
        <v>1170</v>
      </c>
      <c r="I76" s="12" t="s">
        <v>118</v>
      </c>
    </row>
    <row r="77" spans="1:12" ht="12" customHeight="1" x14ac:dyDescent="0.15">
      <c r="H77" s="12">
        <v>1171</v>
      </c>
      <c r="I77" s="12" t="s">
        <v>119</v>
      </c>
    </row>
    <row r="78" spans="1:12" ht="12" customHeight="1" x14ac:dyDescent="0.15">
      <c r="H78" s="12">
        <v>1176</v>
      </c>
      <c r="I78" s="12" t="s">
        <v>12</v>
      </c>
    </row>
    <row r="79" spans="1:12" ht="12" customHeight="1" x14ac:dyDescent="0.15">
      <c r="H79" s="12">
        <v>1192</v>
      </c>
      <c r="I79" s="12" t="s">
        <v>13</v>
      </c>
    </row>
    <row r="80" spans="1:12" ht="12" customHeight="1" x14ac:dyDescent="0.15">
      <c r="H80" s="12">
        <v>1200</v>
      </c>
      <c r="I80" s="12" t="s">
        <v>14</v>
      </c>
    </row>
    <row r="81" spans="8:9" ht="12" customHeight="1" x14ac:dyDescent="0.15">
      <c r="H81" s="12">
        <v>1210</v>
      </c>
      <c r="I81" s="12" t="s">
        <v>15</v>
      </c>
    </row>
    <row r="82" spans="8:9" ht="12" customHeight="1" x14ac:dyDescent="0.15">
      <c r="H82" s="12">
        <v>1280</v>
      </c>
      <c r="I82" s="12" t="s">
        <v>16</v>
      </c>
    </row>
    <row r="83" spans="8:9" ht="12" customHeight="1" x14ac:dyDescent="0.15">
      <c r="H83" s="12">
        <v>1289</v>
      </c>
      <c r="I83" s="12" t="s">
        <v>17</v>
      </c>
    </row>
    <row r="84" spans="8:9" ht="12" customHeight="1" x14ac:dyDescent="0.15">
      <c r="H84" s="12">
        <v>1300</v>
      </c>
      <c r="I84" s="12" t="s">
        <v>18</v>
      </c>
    </row>
    <row r="85" spans="8:9" ht="12" customHeight="1" x14ac:dyDescent="0.15">
      <c r="H85" s="12">
        <v>1301</v>
      </c>
      <c r="I85" s="12" t="s">
        <v>19</v>
      </c>
    </row>
    <row r="86" spans="8:9" ht="12" customHeight="1" x14ac:dyDescent="0.15">
      <c r="H86" s="12">
        <v>1400</v>
      </c>
      <c r="I86" s="12" t="s">
        <v>20</v>
      </c>
    </row>
    <row r="87" spans="8:9" ht="12" customHeight="1" x14ac:dyDescent="0.15">
      <c r="H87" s="12">
        <v>1480</v>
      </c>
      <c r="I87" s="12" t="s">
        <v>21</v>
      </c>
    </row>
    <row r="88" spans="8:9" ht="12" customHeight="1" x14ac:dyDescent="0.15">
      <c r="H88" s="12">
        <v>1500</v>
      </c>
      <c r="I88" s="12" t="s">
        <v>22</v>
      </c>
    </row>
    <row r="89" spans="8:9" ht="12" customHeight="1" x14ac:dyDescent="0.15">
      <c r="H89" s="12">
        <v>1509</v>
      </c>
      <c r="I89" s="12" t="s">
        <v>120</v>
      </c>
    </row>
    <row r="90" spans="8:9" ht="12" customHeight="1" x14ac:dyDescent="0.15">
      <c r="H90" s="12">
        <v>1510</v>
      </c>
      <c r="I90" s="12" t="s">
        <v>23</v>
      </c>
    </row>
    <row r="91" spans="8:9" ht="12" customHeight="1" x14ac:dyDescent="0.15">
      <c r="H91" s="12">
        <v>1519</v>
      </c>
      <c r="I91" s="12" t="s">
        <v>121</v>
      </c>
    </row>
    <row r="92" spans="8:9" ht="12" customHeight="1" x14ac:dyDescent="0.15">
      <c r="H92" s="12">
        <v>1520</v>
      </c>
      <c r="I92" s="12" t="s">
        <v>24</v>
      </c>
    </row>
    <row r="93" spans="8:9" ht="12" customHeight="1" x14ac:dyDescent="0.15">
      <c r="H93" s="12">
        <v>1529</v>
      </c>
      <c r="I93" s="12" t="s">
        <v>122</v>
      </c>
    </row>
    <row r="94" spans="8:9" ht="12" customHeight="1" x14ac:dyDescent="0.15">
      <c r="H94" s="12">
        <v>1530</v>
      </c>
      <c r="I94" s="12" t="s">
        <v>25</v>
      </c>
    </row>
    <row r="95" spans="8:9" ht="12" customHeight="1" x14ac:dyDescent="0.15">
      <c r="H95" s="12">
        <v>1539</v>
      </c>
      <c r="I95" s="12" t="s">
        <v>123</v>
      </c>
    </row>
    <row r="96" spans="8:9" ht="12" customHeight="1" x14ac:dyDescent="0.15">
      <c r="H96" s="12">
        <v>1540</v>
      </c>
      <c r="I96" s="12" t="s">
        <v>26</v>
      </c>
    </row>
    <row r="97" spans="8:9" ht="12" customHeight="1" x14ac:dyDescent="0.15">
      <c r="H97" s="12">
        <v>1549</v>
      </c>
      <c r="I97" s="12" t="s">
        <v>124</v>
      </c>
    </row>
    <row r="98" spans="8:9" ht="12" customHeight="1" x14ac:dyDescent="0.15">
      <c r="H98" s="12">
        <v>1600</v>
      </c>
      <c r="I98" s="12" t="s">
        <v>27</v>
      </c>
    </row>
    <row r="99" spans="8:9" ht="12" customHeight="1" x14ac:dyDescent="0.15">
      <c r="H99" s="12">
        <v>1609</v>
      </c>
      <c r="I99" s="12" t="s">
        <v>125</v>
      </c>
    </row>
    <row r="100" spans="8:9" ht="12" customHeight="1" x14ac:dyDescent="0.15">
      <c r="H100" s="12">
        <v>1610</v>
      </c>
      <c r="I100" s="12" t="s">
        <v>28</v>
      </c>
    </row>
    <row r="101" spans="8:9" ht="12" customHeight="1" x14ac:dyDescent="0.15">
      <c r="H101" s="12">
        <v>1700</v>
      </c>
      <c r="I101" s="12" t="s">
        <v>29</v>
      </c>
    </row>
    <row r="102" spans="8:9" ht="12" customHeight="1" x14ac:dyDescent="0.15">
      <c r="H102" s="12">
        <v>1709</v>
      </c>
      <c r="I102" s="12" t="s">
        <v>30</v>
      </c>
    </row>
    <row r="103" spans="8:9" ht="12" customHeight="1" x14ac:dyDescent="0.15">
      <c r="H103" s="12">
        <v>1800</v>
      </c>
      <c r="I103" s="12" t="s">
        <v>129</v>
      </c>
    </row>
    <row r="104" spans="8:9" ht="12" customHeight="1" x14ac:dyDescent="0.15">
      <c r="H104" s="12">
        <v>1850</v>
      </c>
      <c r="I104" s="12" t="s">
        <v>31</v>
      </c>
    </row>
    <row r="105" spans="8:9" ht="12" customHeight="1" x14ac:dyDescent="0.15">
      <c r="H105" s="12">
        <v>1851</v>
      </c>
      <c r="I105" s="12" t="s">
        <v>32</v>
      </c>
    </row>
    <row r="106" spans="8:9" ht="12" customHeight="1" x14ac:dyDescent="0.15">
      <c r="H106" s="12">
        <v>2000</v>
      </c>
      <c r="I106" s="12" t="s">
        <v>126</v>
      </c>
    </row>
    <row r="107" spans="8:9" ht="12" customHeight="1" x14ac:dyDescent="0.15">
      <c r="H107" s="12">
        <v>2010</v>
      </c>
      <c r="I107" s="12" t="s">
        <v>33</v>
      </c>
    </row>
    <row r="108" spans="8:9" ht="12" customHeight="1" x14ac:dyDescent="0.15">
      <c r="H108" s="12">
        <v>2030</v>
      </c>
      <c r="I108" s="12" t="s">
        <v>34</v>
      </c>
    </row>
    <row r="109" spans="8:9" ht="12" customHeight="1" x14ac:dyDescent="0.15">
      <c r="H109" s="12">
        <v>2100</v>
      </c>
      <c r="I109" s="12" t="s">
        <v>35</v>
      </c>
    </row>
    <row r="110" spans="8:9" ht="12" customHeight="1" x14ac:dyDescent="0.15">
      <c r="H110" s="12">
        <v>2200</v>
      </c>
      <c r="I110" s="12" t="s">
        <v>36</v>
      </c>
    </row>
    <row r="111" spans="8:9" ht="12" customHeight="1" x14ac:dyDescent="0.15">
      <c r="H111" s="12">
        <v>2201</v>
      </c>
      <c r="I111" s="12" t="s">
        <v>37</v>
      </c>
    </row>
    <row r="112" spans="8:9" ht="12" customHeight="1" x14ac:dyDescent="0.15">
      <c r="H112" s="12">
        <v>2206</v>
      </c>
      <c r="I112" s="12" t="s">
        <v>148</v>
      </c>
    </row>
    <row r="113" spans="8:9" ht="12" customHeight="1" x14ac:dyDescent="0.15">
      <c r="H113" s="12">
        <v>2208</v>
      </c>
      <c r="I113" s="12" t="s">
        <v>38</v>
      </c>
    </row>
    <row r="114" spans="8:9" ht="12" customHeight="1" x14ac:dyDescent="0.15">
      <c r="H114" s="12">
        <v>2250</v>
      </c>
      <c r="I114" s="12" t="s">
        <v>39</v>
      </c>
    </row>
    <row r="115" spans="8:9" ht="12" customHeight="1" x14ac:dyDescent="0.15">
      <c r="H115" s="12">
        <v>2261</v>
      </c>
      <c r="I115" s="12" t="s">
        <v>40</v>
      </c>
    </row>
    <row r="116" spans="8:9" ht="12" customHeight="1" x14ac:dyDescent="0.15">
      <c r="H116" s="12">
        <v>2270</v>
      </c>
      <c r="I116" s="12" t="s">
        <v>41</v>
      </c>
    </row>
    <row r="117" spans="8:9" ht="12" customHeight="1" x14ac:dyDescent="0.15">
      <c r="H117" s="12">
        <v>2271</v>
      </c>
      <c r="I117" s="12" t="s">
        <v>42</v>
      </c>
    </row>
    <row r="118" spans="8:9" ht="12" customHeight="1" x14ac:dyDescent="0.15">
      <c r="H118" s="12">
        <v>2300</v>
      </c>
      <c r="I118" s="12" t="s">
        <v>43</v>
      </c>
    </row>
    <row r="119" spans="8:9" ht="12" customHeight="1" x14ac:dyDescent="0.15">
      <c r="H119" s="12">
        <v>2301</v>
      </c>
      <c r="I119" s="12" t="s">
        <v>44</v>
      </c>
    </row>
    <row r="120" spans="8:9" ht="12" customHeight="1" x14ac:dyDescent="0.15">
      <c r="H120" s="12">
        <v>2330</v>
      </c>
      <c r="I120" s="12" t="s">
        <v>45</v>
      </c>
    </row>
    <row r="121" spans="8:9" ht="12" customHeight="1" x14ac:dyDescent="0.15">
      <c r="H121" s="12">
        <v>2400</v>
      </c>
      <c r="I121" s="12" t="s">
        <v>46</v>
      </c>
    </row>
    <row r="122" spans="8:9" ht="12" customHeight="1" x14ac:dyDescent="0.15">
      <c r="H122" s="12">
        <v>2451</v>
      </c>
      <c r="I122" s="12" t="s">
        <v>47</v>
      </c>
    </row>
    <row r="123" spans="8:9" ht="12" customHeight="1" x14ac:dyDescent="0.15">
      <c r="H123" s="12">
        <v>2500</v>
      </c>
      <c r="I123" s="12" t="s">
        <v>48</v>
      </c>
    </row>
    <row r="124" spans="8:9" ht="12" customHeight="1" x14ac:dyDescent="0.15">
      <c r="H124" s="12">
        <v>2600</v>
      </c>
      <c r="I124" s="12" t="s">
        <v>49</v>
      </c>
    </row>
    <row r="125" spans="8:9" ht="12" customHeight="1" x14ac:dyDescent="0.15">
      <c r="H125" s="12" t="s">
        <v>50</v>
      </c>
      <c r="I125" s="12" t="s">
        <v>51</v>
      </c>
    </row>
    <row r="126" spans="8:9" ht="12" customHeight="1" x14ac:dyDescent="0.15">
      <c r="H126" s="12" t="s">
        <v>130</v>
      </c>
      <c r="I126" s="12" t="s">
        <v>131</v>
      </c>
    </row>
    <row r="127" spans="8:9" ht="12" customHeight="1" x14ac:dyDescent="0.15">
      <c r="H127" s="12" t="s">
        <v>132</v>
      </c>
      <c r="I127" s="12" t="s">
        <v>133</v>
      </c>
    </row>
    <row r="128" spans="8:9" ht="12" customHeight="1" x14ac:dyDescent="0.15">
      <c r="H128" s="12" t="s">
        <v>52</v>
      </c>
      <c r="I128" s="12" t="s">
        <v>150</v>
      </c>
    </row>
    <row r="129" spans="8:9" ht="12" customHeight="1" x14ac:dyDescent="0.15">
      <c r="H129" s="12" t="s">
        <v>53</v>
      </c>
      <c r="I129" s="12" t="s">
        <v>54</v>
      </c>
    </row>
    <row r="130" spans="8:9" ht="12" customHeight="1" x14ac:dyDescent="0.15">
      <c r="H130" s="12" t="s">
        <v>55</v>
      </c>
      <c r="I130" s="12" t="s">
        <v>149</v>
      </c>
    </row>
    <row r="131" spans="8:9" ht="12" customHeight="1" x14ac:dyDescent="0.15">
      <c r="H131" s="12" t="s">
        <v>56</v>
      </c>
      <c r="I131" s="12" t="s">
        <v>57</v>
      </c>
    </row>
    <row r="132" spans="8:9" ht="12" customHeight="1" x14ac:dyDescent="0.15">
      <c r="H132" s="12" t="s">
        <v>58</v>
      </c>
      <c r="I132" s="12" t="s">
        <v>152</v>
      </c>
    </row>
    <row r="133" spans="8:9" ht="12" customHeight="1" x14ac:dyDescent="0.15">
      <c r="H133" s="12" t="s">
        <v>59</v>
      </c>
      <c r="I133" s="12" t="s">
        <v>60</v>
      </c>
    </row>
    <row r="134" spans="8:9" ht="12" customHeight="1" x14ac:dyDescent="0.15">
      <c r="H134" s="12" t="s">
        <v>61</v>
      </c>
      <c r="I134" s="12" t="s">
        <v>62</v>
      </c>
    </row>
    <row r="135" spans="8:9" ht="12" customHeight="1" x14ac:dyDescent="0.15">
      <c r="H135" s="12" t="s">
        <v>63</v>
      </c>
      <c r="I135" s="12" t="s">
        <v>64</v>
      </c>
    </row>
    <row r="136" spans="8:9" ht="12" customHeight="1" x14ac:dyDescent="0.15">
      <c r="H136" s="12" t="s">
        <v>65</v>
      </c>
      <c r="I136" s="12" t="s">
        <v>66</v>
      </c>
    </row>
    <row r="137" spans="8:9" ht="12" customHeight="1" x14ac:dyDescent="0.15">
      <c r="H137" s="12" t="s">
        <v>67</v>
      </c>
      <c r="I137" s="12" t="s">
        <v>68</v>
      </c>
    </row>
    <row r="138" spans="8:9" ht="12" customHeight="1" x14ac:dyDescent="0.15">
      <c r="H138" s="12" t="s">
        <v>69</v>
      </c>
      <c r="I138" s="12" t="s">
        <v>70</v>
      </c>
    </row>
    <row r="139" spans="8:9" ht="12" customHeight="1" x14ac:dyDescent="0.15">
      <c r="H139" s="12">
        <v>3000</v>
      </c>
      <c r="I139" s="12" t="s">
        <v>71</v>
      </c>
    </row>
    <row r="140" spans="8:9" ht="12" customHeight="1" x14ac:dyDescent="0.15">
      <c r="H140" s="12">
        <v>3200</v>
      </c>
      <c r="I140" s="12" t="s">
        <v>72</v>
      </c>
    </row>
    <row r="141" spans="8:9" ht="12" customHeight="1" x14ac:dyDescent="0.15">
      <c r="H141" s="12">
        <v>3210</v>
      </c>
      <c r="I141" s="12" t="s">
        <v>73</v>
      </c>
    </row>
    <row r="142" spans="8:9" ht="12" customHeight="1" x14ac:dyDescent="0.15">
      <c r="H142" s="12">
        <v>3400</v>
      </c>
      <c r="I142" s="12" t="s">
        <v>74</v>
      </c>
    </row>
    <row r="143" spans="8:9" ht="12" customHeight="1" x14ac:dyDescent="0.15">
      <c r="H143" s="12">
        <v>3410</v>
      </c>
      <c r="I143" s="12" t="s">
        <v>75</v>
      </c>
    </row>
    <row r="144" spans="8:9" ht="12" customHeight="1" x14ac:dyDescent="0.15">
      <c r="H144" s="12">
        <v>3700</v>
      </c>
      <c r="I144" s="12" t="s">
        <v>76</v>
      </c>
    </row>
    <row r="145" spans="8:9" ht="12" customHeight="1" x14ac:dyDescent="0.15">
      <c r="H145" s="12">
        <v>3805</v>
      </c>
      <c r="I145" s="12" t="s">
        <v>77</v>
      </c>
    </row>
    <row r="146" spans="8:9" ht="12" customHeight="1" x14ac:dyDescent="0.15">
      <c r="H146" s="12">
        <v>3900</v>
      </c>
      <c r="I146" s="12" t="s">
        <v>78</v>
      </c>
    </row>
    <row r="147" spans="8:9" ht="12" customHeight="1" x14ac:dyDescent="0.15">
      <c r="H147" s="12">
        <v>3901</v>
      </c>
      <c r="I147" s="12" t="s">
        <v>78</v>
      </c>
    </row>
    <row r="148" spans="8:9" ht="12" customHeight="1" x14ac:dyDescent="0.15">
      <c r="H148" s="12">
        <v>3940</v>
      </c>
      <c r="I148" s="12" t="s">
        <v>79</v>
      </c>
    </row>
    <row r="149" spans="8:9" ht="12" customHeight="1" x14ac:dyDescent="0.15">
      <c r="H149" s="12">
        <v>4000</v>
      </c>
      <c r="I149" s="12" t="s">
        <v>80</v>
      </c>
    </row>
    <row r="150" spans="8:9" ht="12" customHeight="1" x14ac:dyDescent="0.15">
      <c r="H150" s="12">
        <v>4200</v>
      </c>
      <c r="I150" s="12" t="s">
        <v>81</v>
      </c>
    </row>
    <row r="151" spans="8:9" ht="12" customHeight="1" x14ac:dyDescent="0.15">
      <c r="H151" s="12">
        <v>4210</v>
      </c>
      <c r="I151" s="12" t="s">
        <v>82</v>
      </c>
    </row>
    <row r="152" spans="8:9" ht="12" customHeight="1" x14ac:dyDescent="0.15">
      <c r="H152" s="12">
        <v>4270</v>
      </c>
      <c r="I152" s="12" t="s">
        <v>83</v>
      </c>
    </row>
    <row r="153" spans="8:9" ht="12" customHeight="1" x14ac:dyDescent="0.15">
      <c r="H153" s="12">
        <v>4290</v>
      </c>
      <c r="I153" s="12" t="s">
        <v>84</v>
      </c>
    </row>
    <row r="154" spans="8:9" ht="12" customHeight="1" x14ac:dyDescent="0.15">
      <c r="H154" s="12">
        <v>4500</v>
      </c>
      <c r="I154" s="12" t="s">
        <v>85</v>
      </c>
    </row>
    <row r="155" spans="8:9" ht="12" customHeight="1" x14ac:dyDescent="0.15">
      <c r="H155" s="12">
        <v>4510</v>
      </c>
      <c r="I155" s="12" t="s">
        <v>86</v>
      </c>
    </row>
    <row r="156" spans="8:9" ht="12" customHeight="1" x14ac:dyDescent="0.15">
      <c r="H156" s="12">
        <v>4570</v>
      </c>
      <c r="I156" s="12" t="s">
        <v>87</v>
      </c>
    </row>
    <row r="157" spans="8:9" ht="12" customHeight="1" x14ac:dyDescent="0.15">
      <c r="H157" s="12">
        <v>4590</v>
      </c>
      <c r="I157" s="12" t="s">
        <v>88</v>
      </c>
    </row>
    <row r="158" spans="8:9" ht="12" customHeight="1" x14ac:dyDescent="0.15">
      <c r="H158" s="12">
        <v>5200</v>
      </c>
      <c r="I158" s="12" t="s">
        <v>89</v>
      </c>
    </row>
    <row r="159" spans="8:9" ht="12" customHeight="1" x14ac:dyDescent="0.15">
      <c r="H159" s="12">
        <v>5270</v>
      </c>
      <c r="I159" s="12" t="s">
        <v>90</v>
      </c>
    </row>
    <row r="160" spans="8:9" ht="12" customHeight="1" x14ac:dyDescent="0.15">
      <c r="H160" s="12">
        <v>5800</v>
      </c>
      <c r="I160" s="12" t="s">
        <v>91</v>
      </c>
    </row>
    <row r="161" spans="8:9" ht="12" customHeight="1" x14ac:dyDescent="0.15">
      <c r="H161" s="12">
        <v>5271</v>
      </c>
      <c r="I161" s="12" t="s">
        <v>92</v>
      </c>
    </row>
    <row r="162" spans="8:9" ht="12" customHeight="1" x14ac:dyDescent="0.15">
      <c r="H162" s="12">
        <v>5272</v>
      </c>
      <c r="I162" s="12" t="s">
        <v>93</v>
      </c>
    </row>
    <row r="163" spans="8:9" ht="12" customHeight="1" x14ac:dyDescent="0.15">
      <c r="H163" s="12">
        <v>5273</v>
      </c>
      <c r="I163" s="12" t="s">
        <v>94</v>
      </c>
    </row>
    <row r="164" spans="8:9" ht="12" customHeight="1" x14ac:dyDescent="0.15">
      <c r="H164" s="12">
        <v>5274</v>
      </c>
      <c r="I164" s="12" t="s">
        <v>95</v>
      </c>
    </row>
    <row r="165" spans="8:9" ht="12" customHeight="1" x14ac:dyDescent="0.15">
      <c r="H165" s="12">
        <v>5275</v>
      </c>
      <c r="I165" s="12" t="s">
        <v>96</v>
      </c>
    </row>
    <row r="166" spans="8:9" ht="12" customHeight="1" x14ac:dyDescent="0.15">
      <c r="H166" s="12">
        <v>5280</v>
      </c>
      <c r="I166" s="12" t="s">
        <v>91</v>
      </c>
    </row>
    <row r="167" spans="8:9" ht="12" customHeight="1" x14ac:dyDescent="0.15">
      <c r="H167" s="12">
        <v>6000</v>
      </c>
      <c r="I167" s="12" t="s">
        <v>97</v>
      </c>
    </row>
    <row r="168" spans="8:9" ht="12" customHeight="1" x14ac:dyDescent="0.15">
      <c r="H168" s="12">
        <v>6100</v>
      </c>
      <c r="I168" s="12" t="s">
        <v>98</v>
      </c>
    </row>
    <row r="169" spans="8:9" ht="12" customHeight="1" x14ac:dyDescent="0.15">
      <c r="H169" s="12">
        <v>6200</v>
      </c>
      <c r="I169" s="12" t="s">
        <v>99</v>
      </c>
    </row>
    <row r="170" spans="8:9" ht="12" customHeight="1" x14ac:dyDescent="0.15">
      <c r="H170" s="12">
        <v>6400</v>
      </c>
      <c r="I170" s="12" t="s">
        <v>100</v>
      </c>
    </row>
    <row r="171" spans="8:9" ht="12" customHeight="1" x14ac:dyDescent="0.15">
      <c r="H171" s="12">
        <v>6500</v>
      </c>
      <c r="I171" s="12" t="s">
        <v>101</v>
      </c>
    </row>
    <row r="172" spans="8:9" ht="12" customHeight="1" x14ac:dyDescent="0.15">
      <c r="H172" s="12">
        <v>6510</v>
      </c>
      <c r="I172" s="12" t="s">
        <v>102</v>
      </c>
    </row>
    <row r="173" spans="8:9" ht="12" customHeight="1" x14ac:dyDescent="0.15">
      <c r="H173" s="12">
        <v>6513</v>
      </c>
      <c r="I173" s="12" t="s">
        <v>103</v>
      </c>
    </row>
    <row r="174" spans="8:9" ht="12" customHeight="1" x14ac:dyDescent="0.15">
      <c r="H174" s="12">
        <v>6600</v>
      </c>
      <c r="I174" s="12" t="s">
        <v>104</v>
      </c>
    </row>
    <row r="175" spans="8:9" ht="12" customHeight="1" x14ac:dyDescent="0.15">
      <c r="H175" s="12">
        <v>6700</v>
      </c>
      <c r="I175" s="12" t="s">
        <v>105</v>
      </c>
    </row>
    <row r="176" spans="8:9" ht="12" customHeight="1" x14ac:dyDescent="0.15">
      <c r="H176" s="12">
        <v>6800</v>
      </c>
      <c r="I176" s="12" t="s">
        <v>106</v>
      </c>
    </row>
    <row r="177" spans="8:9" ht="12" customHeight="1" x14ac:dyDescent="0.15">
      <c r="H177" s="12">
        <v>6900</v>
      </c>
      <c r="I177" s="12" t="s">
        <v>127</v>
      </c>
    </row>
    <row r="178" spans="8:9" ht="12" customHeight="1" x14ac:dyDescent="0.15">
      <c r="H178" s="12">
        <v>6950</v>
      </c>
      <c r="I178" s="12" t="s">
        <v>128</v>
      </c>
    </row>
    <row r="179" spans="8:9" ht="12" customHeight="1" x14ac:dyDescent="0.15">
      <c r="H179" s="12">
        <v>6960</v>
      </c>
      <c r="I179" s="12" t="s">
        <v>154</v>
      </c>
    </row>
    <row r="180" spans="8:9" ht="12" customHeight="1" x14ac:dyDescent="0.15">
      <c r="H180" s="12">
        <v>7400</v>
      </c>
      <c r="I180" s="12" t="s">
        <v>107</v>
      </c>
    </row>
    <row r="181" spans="8:9" ht="12" customHeight="1" x14ac:dyDescent="0.15">
      <c r="H181" s="12">
        <v>7410</v>
      </c>
      <c r="I181" s="12" t="s">
        <v>108</v>
      </c>
    </row>
    <row r="182" spans="8:9" ht="12" customHeight="1" x14ac:dyDescent="0.15">
      <c r="H182" s="12">
        <v>7500</v>
      </c>
      <c r="I182" s="12" t="s">
        <v>109</v>
      </c>
    </row>
    <row r="183" spans="8:9" ht="12" customHeight="1" x14ac:dyDescent="0.15">
      <c r="H183" s="12">
        <v>7510</v>
      </c>
      <c r="I183" s="12" t="s">
        <v>110</v>
      </c>
    </row>
    <row r="184" spans="8:9" ht="12" customHeight="1" x14ac:dyDescent="0.15">
      <c r="H184" s="12">
        <v>7900</v>
      </c>
      <c r="I184" s="12" t="s">
        <v>111</v>
      </c>
    </row>
    <row r="185" spans="8:9" ht="12" customHeight="1" x14ac:dyDescent="0.15">
      <c r="H185" s="12">
        <v>8000</v>
      </c>
      <c r="I185" s="12" t="s">
        <v>112</v>
      </c>
    </row>
    <row r="186" spans="8:9" ht="12" customHeight="1" x14ac:dyDescent="0.15">
      <c r="H186" s="12">
        <v>8100</v>
      </c>
      <c r="I186" s="12" t="s">
        <v>113</v>
      </c>
    </row>
    <row r="187" spans="8:9" ht="12" customHeight="1" x14ac:dyDescent="0.15">
      <c r="H187" s="12">
        <v>8500</v>
      </c>
      <c r="I187" s="12" t="s">
        <v>114</v>
      </c>
    </row>
    <row r="188" spans="8:9" ht="12" customHeight="1" x14ac:dyDescent="0.15">
      <c r="H188" s="12">
        <v>8510</v>
      </c>
      <c r="I188" s="12" t="s">
        <v>115</v>
      </c>
    </row>
    <row r="189" spans="8:9" ht="12" customHeight="1" x14ac:dyDescent="0.15">
      <c r="H189" s="12">
        <v>8900</v>
      </c>
      <c r="I189" s="12" t="s">
        <v>38</v>
      </c>
    </row>
    <row r="190" spans="8:9" ht="12" customHeight="1" x14ac:dyDescent="0.15">
      <c r="H190" s="12">
        <v>9200</v>
      </c>
      <c r="I190" s="12" t="s">
        <v>146</v>
      </c>
    </row>
    <row r="191" spans="8:9" ht="12" customHeight="1" x14ac:dyDescent="0.15">
      <c r="H191" s="12">
        <v>2262</v>
      </c>
      <c r="I191" s="12" t="s">
        <v>147</v>
      </c>
    </row>
    <row r="192" spans="8:9" ht="12" customHeight="1" x14ac:dyDescent="0.15">
      <c r="H192" s="12">
        <v>2863</v>
      </c>
      <c r="I192" s="12" t="s">
        <v>151</v>
      </c>
    </row>
    <row r="193" spans="8:9" ht="12" customHeight="1" x14ac:dyDescent="0.15">
      <c r="H193" s="12">
        <v>1160</v>
      </c>
      <c r="I193" s="12" t="s">
        <v>168</v>
      </c>
    </row>
    <row r="194" spans="8:9" ht="12" customHeight="1" x14ac:dyDescent="0.15">
      <c r="H194" s="12">
        <v>1801</v>
      </c>
      <c r="I194" s="12" t="s">
        <v>171</v>
      </c>
    </row>
    <row r="195" spans="8:9" ht="12" customHeight="1" x14ac:dyDescent="0.15">
      <c r="H195" s="12">
        <v>2272</v>
      </c>
      <c r="I195" s="12" t="s">
        <v>180</v>
      </c>
    </row>
  </sheetData>
  <sheetProtection formatCells="0" formatColumns="0" formatRows="0" insertColumns="0" insertRows="0"/>
  <pageMargins left="0.25" right="0.25" top="0.75" bottom="0.75" header="0.3" footer="0.3"/>
  <pageSetup paperSize="9" orientation="portrait" r:id="rId1"/>
  <headerFooter>
    <oddFooter>&amp;L(C) Yannick Bravo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Feuil1</vt:lpstr>
      <vt:lpstr>normal</vt:lpstr>
      <vt:lpstr>plancomptable</vt:lpstr>
      <vt:lpstr>réduit</vt:lpstr>
      <vt:lpstr>spécial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Yannick Bravo</cp:lastModifiedBy>
  <cp:lastPrinted>2019-04-17T06:29:43Z</cp:lastPrinted>
  <dcterms:created xsi:type="dcterms:W3CDTF">2018-02-01T08:22:29Z</dcterms:created>
  <dcterms:modified xsi:type="dcterms:W3CDTF">2019-04-17T06:31:25Z</dcterms:modified>
</cp:coreProperties>
</file>